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comments5.xml" ContentType="application/vnd.openxmlformats-officedocument.spreadsheetml.comments+xml"/>
  <Override PartName="/xl/threadedComments/threadedComment5.xml" ContentType="application/vnd.ms-excel.threadedcomments+xml"/>
  <Override PartName="/xl/comments6.xml" ContentType="application/vnd.openxmlformats-officedocument.spreadsheetml.comments+xml"/>
  <Override PartName="/xl/threadedComments/threadedComment6.xml" ContentType="application/vnd.ms-excel.threadedcomments+xml"/>
  <Override PartName="/xl/comments7.xml" ContentType="application/vnd.openxmlformats-officedocument.spreadsheetml.comments+xml"/>
  <Override PartName="/xl/threadedComments/threadedComment7.xml" ContentType="application/vnd.ms-excel.threadedcomments+xml"/>
  <Override PartName="/xl/comments8.xml" ContentType="application/vnd.openxmlformats-officedocument.spreadsheetml.comments+xml"/>
  <Override PartName="/xl/threadedComments/threadedComment8.xml" ContentType="application/vnd.ms-excel.threadedcomments+xml"/>
  <Override PartName="/xl/comments9.xml" ContentType="application/vnd.openxmlformats-officedocument.spreadsheetml.comments+xml"/>
  <Override PartName="/xl/threadedComments/threadedComment9.xml" ContentType="application/vnd.ms-excel.threadedcomments+xml"/>
  <Override PartName="/xl/comments10.xml" ContentType="application/vnd.openxmlformats-officedocument.spreadsheetml.comments+xml"/>
  <Override PartName="/xl/threadedComments/threadedComment10.xml" ContentType="application/vnd.ms-excel.threadedcomments+xml"/>
  <Override PartName="/xl/drawings/drawing1.xml" ContentType="application/vnd.openxmlformats-officedocument.drawing+xml"/>
  <Override PartName="/xl/comments11.xml" ContentType="application/vnd.openxmlformats-officedocument.spreadsheetml.comments+xml"/>
  <Override PartName="/xl/threadedComments/threadedComment11.xml" ContentType="application/vnd.ms-excel.threaded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2.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3.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4.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5.xml" ContentType="application/vnd.openxmlformats-officedocument.drawing+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6.xml" ContentType="application/vnd.openxmlformats-officedocument.drawing+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1"/>
  <workbookPr defaultThemeVersion="166925"/>
  <mc:AlternateContent xmlns:mc="http://schemas.openxmlformats.org/markup-compatibility/2006">
    <mc:Choice Requires="x15">
      <x15ac:absPath xmlns:x15ac="http://schemas.microsoft.com/office/spreadsheetml/2010/11/ac" url="https://franzonicocom-my.sharepoint.com/personal/office_franzoni-co_com/Documents/Finansial reports/"/>
    </mc:Choice>
  </mc:AlternateContent>
  <xr:revisionPtr revIDLastSave="29774" documentId="14_{0D7E8083-AA1D-4DCB-B49B-4A6FCA5B1339}" xr6:coauthVersionLast="47" xr6:coauthVersionMax="47" xr10:uidLastSave="{224AE2CD-1296-4781-8276-4F3CBED06313}"/>
  <bookViews>
    <workbookView xWindow="-120" yWindow="-120" windowWidth="29040" windowHeight="17640" firstSheet="5" activeTab="2" xr2:uid="{BE33F274-B6DD-43AB-8286-A40D29E50EEB}"/>
  </bookViews>
  <sheets>
    <sheet name="Total 2025" sheetId="50" r:id="rId1"/>
    <sheet name="Profit " sheetId="48" r:id="rId2"/>
    <sheet name="MIL" sheetId="72" r:id="rId3"/>
    <sheet name="PAN3" sheetId="69" r:id="rId4"/>
    <sheet name="DRE" sheetId="68" r:id="rId5"/>
    <sheet name="LUSH" sheetId="67" r:id="rId6"/>
    <sheet name="HOKA" sheetId="66" r:id="rId7"/>
    <sheet name="TES" sheetId="65" r:id="rId8"/>
    <sheet name="FAL2" sheetId="64" r:id="rId9"/>
    <sheet name="UGG" sheetId="63" r:id="rId10"/>
    <sheet name="PAN2" sheetId="32" r:id="rId11"/>
    <sheet name="KAR" sheetId="62" r:id="rId12"/>
    <sheet name="LIN" sheetId="61" r:id="rId13"/>
    <sheet name="TRIE" sheetId="60" r:id="rId14"/>
    <sheet name="FAL_STU3" sheetId="59" r:id="rId15"/>
    <sheet name="STU2" sheetId="58" r:id="rId16"/>
    <sheet name="STU" sheetId="57" r:id="rId17"/>
    <sheet name="SWA" sheetId="22" r:id="rId18"/>
    <sheet name="FRO" sheetId="30" r:id="rId19"/>
    <sheet name="LULU" sheetId="21" r:id="rId20"/>
    <sheet name="INS" sheetId="18" r:id="rId21"/>
    <sheet name="AKR" sheetId="17" r:id="rId22"/>
    <sheet name="PAN" sheetId="16" r:id="rId23"/>
    <sheet name="COL" sheetId="4" r:id="rId24"/>
    <sheet name="EXAMPLE" sheetId="56" r:id="rId25"/>
    <sheet name="PAN3 (Kristaps)" sheetId="73" r:id="rId26"/>
    <sheet name="PAN2 (Kristaps)" sheetId="74" r:id="rId27"/>
    <sheet name="Sheet1" sheetId="70" r:id="rId28"/>
  </sheets>
  <definedNames>
    <definedName name="_xlnm._FilterDatabase" localSheetId="1" hidden="1">'Profit '!$A$1:$D$20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8" i="67" l="1"/>
  <c r="B65" i="66"/>
  <c r="D14" i="62"/>
  <c r="D14" i="66"/>
  <c r="B61" i="66"/>
  <c r="B53" i="66"/>
  <c r="D7" i="72"/>
  <c r="D24" i="72"/>
  <c r="E28" i="32"/>
  <c r="E25" i="59"/>
  <c r="D3" i="62"/>
  <c r="E24" i="62"/>
  <c r="C25" i="62"/>
  <c r="C4" i="62"/>
  <c r="B30" i="72"/>
  <c r="D8" i="72" s="1"/>
  <c r="D11" i="72"/>
  <c r="H4" i="72"/>
  <c r="D19" i="72"/>
  <c r="D12" i="66"/>
  <c r="D8" i="64"/>
  <c r="D10" i="66"/>
  <c r="D10" i="67"/>
  <c r="D10" i="62"/>
  <c r="D12" i="67"/>
  <c r="D16" i="67"/>
  <c r="H4" i="62"/>
  <c r="D7" i="66"/>
  <c r="E28" i="74"/>
  <c r="E26" i="73"/>
  <c r="D25" i="73"/>
  <c r="E26" i="69"/>
  <c r="M5" i="16"/>
  <c r="H6" i="73"/>
  <c r="H7" i="73"/>
  <c r="D25" i="69"/>
  <c r="D16" i="62"/>
  <c r="D9" i="67"/>
  <c r="B59" i="66"/>
  <c r="D7" i="67"/>
  <c r="D7" i="62"/>
  <c r="B56" i="66"/>
  <c r="D32" i="66"/>
  <c r="D31" i="66"/>
  <c r="D22" i="67"/>
  <c r="D22" i="62"/>
  <c r="D23" i="62"/>
  <c r="D9" i="62"/>
  <c r="D12" i="72"/>
  <c r="D7" i="74"/>
  <c r="E7" i="74"/>
  <c r="C20" i="74"/>
  <c r="C7" i="74"/>
  <c r="C8" i="74"/>
  <c r="D8" i="74"/>
  <c r="D16" i="69"/>
  <c r="C28" i="74"/>
  <c r="D13" i="72"/>
  <c r="E13" i="72" s="1"/>
  <c r="C34" i="74"/>
  <c r="C29" i="74"/>
  <c r="D27" i="74"/>
  <c r="E27" i="74" s="1"/>
  <c r="D26" i="74"/>
  <c r="C24" i="74"/>
  <c r="E23" i="74"/>
  <c r="H22" i="74"/>
  <c r="E22" i="74"/>
  <c r="E21" i="74"/>
  <c r="D20" i="74"/>
  <c r="E20" i="74" s="1"/>
  <c r="D19" i="74"/>
  <c r="E19" i="74" s="1"/>
  <c r="E18" i="74"/>
  <c r="E17" i="74"/>
  <c r="E16" i="74"/>
  <c r="E15" i="74"/>
  <c r="E14" i="74"/>
  <c r="E13" i="74"/>
  <c r="E12" i="74"/>
  <c r="D11" i="74"/>
  <c r="E11" i="74" s="1"/>
  <c r="D10" i="74"/>
  <c r="E10" i="74" s="1"/>
  <c r="H9" i="74"/>
  <c r="E9" i="74"/>
  <c r="E8" i="74"/>
  <c r="A8" i="74"/>
  <c r="A9" i="74" s="1"/>
  <c r="A10" i="74" s="1"/>
  <c r="A11" i="74" s="1"/>
  <c r="A12" i="74" s="1"/>
  <c r="A17" i="74" s="1"/>
  <c r="A18" i="74" s="1"/>
  <c r="A19" i="74" s="1"/>
  <c r="A20" i="74" s="1"/>
  <c r="A21" i="74" s="1"/>
  <c r="A22" i="74" s="1"/>
  <c r="A23" i="74" s="1"/>
  <c r="C5" i="74"/>
  <c r="J4" i="74"/>
  <c r="J5" i="74" s="1"/>
  <c r="H4" i="74"/>
  <c r="J3" i="74"/>
  <c r="D3" i="74"/>
  <c r="C16" i="73"/>
  <c r="B30" i="73"/>
  <c r="C25" i="73"/>
  <c r="D24" i="73"/>
  <c r="E21" i="73"/>
  <c r="E20" i="73"/>
  <c r="E19" i="73"/>
  <c r="H18" i="73"/>
  <c r="E18" i="73"/>
  <c r="E17" i="73"/>
  <c r="D16" i="73"/>
  <c r="D15" i="73"/>
  <c r="C15" i="73"/>
  <c r="E14" i="73"/>
  <c r="E13" i="73"/>
  <c r="E12" i="73"/>
  <c r="E11" i="73"/>
  <c r="E10" i="73"/>
  <c r="E9" i="73"/>
  <c r="D8" i="73"/>
  <c r="E8" i="73" s="1"/>
  <c r="A8" i="73"/>
  <c r="A9" i="73" s="1"/>
  <c r="A10" i="73" s="1"/>
  <c r="A11" i="73" s="1"/>
  <c r="A12" i="73" s="1"/>
  <c r="A13" i="73" s="1"/>
  <c r="A14" i="73" s="1"/>
  <c r="A15" i="73" s="1"/>
  <c r="A16" i="73" s="1"/>
  <c r="A17" i="73" s="1"/>
  <c r="A18" i="73" s="1"/>
  <c r="A19" i="73" s="1"/>
  <c r="D7" i="73"/>
  <c r="J5" i="73"/>
  <c r="C5" i="73"/>
  <c r="J4" i="73"/>
  <c r="J3" i="73"/>
  <c r="H4" i="66"/>
  <c r="U20" i="69"/>
  <c r="D8" i="69"/>
  <c r="D7" i="63"/>
  <c r="D7" i="68"/>
  <c r="H4" i="69"/>
  <c r="O23" i="62"/>
  <c r="M23" i="62"/>
  <c r="C22" i="69"/>
  <c r="D22" i="69"/>
  <c r="C17" i="64"/>
  <c r="C21" i="64"/>
  <c r="H5" i="64"/>
  <c r="D13" i="64"/>
  <c r="D14" i="64"/>
  <c r="I7" i="64"/>
  <c r="I4" i="64"/>
  <c r="I5" i="64"/>
  <c r="I6" i="64"/>
  <c r="C22" i="64"/>
  <c r="F7" i="64"/>
  <c r="C5" i="72"/>
  <c r="E24" i="68"/>
  <c r="D17" i="68"/>
  <c r="D8" i="68"/>
  <c r="C16" i="68"/>
  <c r="C20" i="68"/>
  <c r="D12" i="68"/>
  <c r="C13" i="68"/>
  <c r="D14" i="68"/>
  <c r="E21" i="69"/>
  <c r="D14" i="72"/>
  <c r="E14" i="72" s="1"/>
  <c r="C22" i="72"/>
  <c r="H18" i="69"/>
  <c r="D10" i="68"/>
  <c r="H20" i="72"/>
  <c r="D13" i="62"/>
  <c r="D22" i="68"/>
  <c r="D23" i="68"/>
  <c r="H20" i="65"/>
  <c r="H24" i="32"/>
  <c r="H20" i="61"/>
  <c r="H20" i="60"/>
  <c r="H20" i="59"/>
  <c r="H6" i="58"/>
  <c r="H7" i="58"/>
  <c r="H21" i="58"/>
  <c r="H21" i="57"/>
  <c r="H19" i="22"/>
  <c r="D18" i="72"/>
  <c r="D17" i="72"/>
  <c r="D16" i="72"/>
  <c r="D15" i="72"/>
  <c r="I5" i="72"/>
  <c r="I2" i="72"/>
  <c r="E27" i="66"/>
  <c r="E28" i="66"/>
  <c r="C18" i="66"/>
  <c r="C19" i="66"/>
  <c r="C33" i="66"/>
  <c r="E33" i="66" s="1"/>
  <c r="D16" i="68"/>
  <c r="D15" i="68"/>
  <c r="D19" i="66"/>
  <c r="I5" i="67"/>
  <c r="D7" i="64"/>
  <c r="D18" i="66"/>
  <c r="D13" i="66"/>
  <c r="E23" i="67"/>
  <c r="E24" i="67"/>
  <c r="E25" i="66"/>
  <c r="E26" i="66"/>
  <c r="D15" i="66"/>
  <c r="D15" i="69"/>
  <c r="D7" i="69"/>
  <c r="D23" i="64"/>
  <c r="D24" i="64"/>
  <c r="D24" i="69"/>
  <c r="D11" i="68"/>
  <c r="D11" i="66"/>
  <c r="E20" i="69"/>
  <c r="D15" i="67"/>
  <c r="D9" i="66"/>
  <c r="D17" i="66"/>
  <c r="C17" i="67"/>
  <c r="J5" i="66"/>
  <c r="J3" i="66"/>
  <c r="J4" i="66"/>
  <c r="D11" i="67"/>
  <c r="D17" i="62"/>
  <c r="D12" i="61"/>
  <c r="F7" i="63"/>
  <c r="L3" i="66"/>
  <c r="J7" i="66"/>
  <c r="D12" i="62"/>
  <c r="B23" i="48"/>
  <c r="W4" i="50"/>
  <c r="W3" i="50"/>
  <c r="W5" i="50"/>
  <c r="W2" i="50"/>
  <c r="A23" i="48"/>
  <c r="D27" i="72"/>
  <c r="W9" i="50" s="1"/>
  <c r="E24" i="72"/>
  <c r="E21" i="72"/>
  <c r="E20" i="72"/>
  <c r="E19" i="72"/>
  <c r="E16" i="72"/>
  <c r="E15" i="72"/>
  <c r="E12" i="72"/>
  <c r="E11" i="72"/>
  <c r="E10" i="72"/>
  <c r="E9" i="72"/>
  <c r="E8" i="72"/>
  <c r="A8" i="72"/>
  <c r="A9" i="72" s="1"/>
  <c r="A10" i="72" s="1"/>
  <c r="A11" i="72" s="1"/>
  <c r="A12" i="72" s="1"/>
  <c r="A15" i="72" s="1"/>
  <c r="A16" i="72" s="1"/>
  <c r="A17" i="72" s="1"/>
  <c r="A18" i="72" s="1"/>
  <c r="A19" i="72" s="1"/>
  <c r="A20" i="72" s="1"/>
  <c r="A21" i="72" s="1"/>
  <c r="H5" i="72"/>
  <c r="H16" i="72"/>
  <c r="D17" i="64"/>
  <c r="K4" i="66"/>
  <c r="B30" i="69"/>
  <c r="D9" i="68"/>
  <c r="D11" i="64"/>
  <c r="D11" i="62"/>
  <c r="D21" i="63"/>
  <c r="D7" i="61"/>
  <c r="C35" i="63"/>
  <c r="D18" i="63"/>
  <c r="D22" i="63"/>
  <c r="C29" i="68"/>
  <c r="D12" i="63"/>
  <c r="D15" i="62"/>
  <c r="D16" i="64"/>
  <c r="H4" i="64"/>
  <c r="H18" i="68"/>
  <c r="H6" i="32"/>
  <c r="D16" i="61"/>
  <c r="D8" i="61"/>
  <c r="H4" i="61"/>
  <c r="K3" i="66"/>
  <c r="E8" i="21"/>
  <c r="C38" i="21"/>
  <c r="D14" i="63"/>
  <c r="E13" i="66"/>
  <c r="E14" i="66"/>
  <c r="D13" i="63"/>
  <c r="C21" i="65"/>
  <c r="C21" i="61"/>
  <c r="E22" i="66"/>
  <c r="E23" i="66"/>
  <c r="E24" i="66"/>
  <c r="E14" i="63"/>
  <c r="E15" i="63"/>
  <c r="E16" i="63"/>
  <c r="E17" i="63"/>
  <c r="D19" i="63"/>
  <c r="E15" i="66"/>
  <c r="E16" i="66"/>
  <c r="D13" i="61"/>
  <c r="C25" i="69"/>
  <c r="C15" i="69"/>
  <c r="C16" i="69"/>
  <c r="C31" i="66"/>
  <c r="C32" i="66" s="1"/>
  <c r="C8" i="66"/>
  <c r="C7" i="66"/>
  <c r="C29" i="66" s="1"/>
  <c r="C16" i="67"/>
  <c r="C20" i="67" s="1"/>
  <c r="C4" i="68"/>
  <c r="C3" i="68"/>
  <c r="C23" i="68"/>
  <c r="C22" i="68"/>
  <c r="C10" i="68"/>
  <c r="C12" i="68"/>
  <c r="C11" i="68"/>
  <c r="C9" i="68"/>
  <c r="C8" i="68"/>
  <c r="C7" i="68"/>
  <c r="J4" i="32"/>
  <c r="J5" i="32" s="1"/>
  <c r="J3" i="32"/>
  <c r="J5" i="69"/>
  <c r="J4" i="69"/>
  <c r="J3" i="69"/>
  <c r="D8" i="32"/>
  <c r="L5" i="68"/>
  <c r="K5" i="68"/>
  <c r="J5" i="68"/>
  <c r="L4" i="68"/>
  <c r="K4" i="68"/>
  <c r="J4" i="68"/>
  <c r="H3" i="68"/>
  <c r="L3" i="68"/>
  <c r="K3" i="68"/>
  <c r="J3" i="68"/>
  <c r="J3" i="60"/>
  <c r="M10" i="63"/>
  <c r="M11" i="63"/>
  <c r="E14" i="32"/>
  <c r="E15" i="32"/>
  <c r="E16" i="32"/>
  <c r="L8" i="63"/>
  <c r="D7" i="65"/>
  <c r="D15" i="61"/>
  <c r="D9" i="63"/>
  <c r="E29" i="63"/>
  <c r="D8" i="63"/>
  <c r="F8" i="63" s="1"/>
  <c r="D12" i="64"/>
  <c r="D10" i="63"/>
  <c r="D10" i="61"/>
  <c r="D10" i="32"/>
  <c r="D27" i="63"/>
  <c r="D7" i="32"/>
  <c r="D26" i="32"/>
  <c r="D11" i="63"/>
  <c r="D11" i="61"/>
  <c r="D28" i="63"/>
  <c r="D22" i="61"/>
  <c r="D23" i="61"/>
  <c r="H4" i="32"/>
  <c r="D27" i="32"/>
  <c r="D19" i="32"/>
  <c r="H9" i="32"/>
  <c r="D20" i="63"/>
  <c r="D16" i="60"/>
  <c r="D20" i="32"/>
  <c r="D11" i="32"/>
  <c r="C30" i="64"/>
  <c r="D8" i="66"/>
  <c r="L5" i="66"/>
  <c r="J3" i="63"/>
  <c r="K3" i="63"/>
  <c r="J5" i="63" s="1"/>
  <c r="I8" i="50"/>
  <c r="E15" i="64"/>
  <c r="H22" i="32"/>
  <c r="C34" i="32"/>
  <c r="D8" i="60"/>
  <c r="C24" i="64"/>
  <c r="C8" i="64"/>
  <c r="E23" i="32"/>
  <c r="E22" i="32"/>
  <c r="E21" i="32"/>
  <c r="E19" i="32"/>
  <c r="E18" i="32"/>
  <c r="E17" i="32"/>
  <c r="E13" i="32"/>
  <c r="E12" i="32"/>
  <c r="E10" i="32"/>
  <c r="E9" i="32"/>
  <c r="E8" i="32"/>
  <c r="A8" i="32"/>
  <c r="A9" i="32" s="1"/>
  <c r="A10" i="32" s="1"/>
  <c r="A11" i="32" s="1"/>
  <c r="A12" i="32" s="1"/>
  <c r="A17" i="32" s="1"/>
  <c r="A18" i="32" s="1"/>
  <c r="A19" i="32" s="1"/>
  <c r="A20" i="32" s="1"/>
  <c r="A21" i="32" s="1"/>
  <c r="A22" i="32" s="1"/>
  <c r="A23" i="32" s="1"/>
  <c r="H5" i="32"/>
  <c r="C5" i="32"/>
  <c r="G56" i="22"/>
  <c r="D15" i="22"/>
  <c r="F68" i="22"/>
  <c r="F14" i="50"/>
  <c r="E5" i="21"/>
  <c r="E9" i="21"/>
  <c r="E6" i="21"/>
  <c r="D16" i="65"/>
  <c r="E17" i="21"/>
  <c r="D16" i="59"/>
  <c r="G74" i="22"/>
  <c r="F78" i="22"/>
  <c r="C28" i="62"/>
  <c r="D8" i="62" s="1"/>
  <c r="E24" i="63"/>
  <c r="D7" i="60"/>
  <c r="D10" i="60"/>
  <c r="C13" i="62"/>
  <c r="C14" i="62"/>
  <c r="C23" i="62"/>
  <c r="C16" i="62"/>
  <c r="C15" i="62"/>
  <c r="C12" i="62"/>
  <c r="C16" i="65"/>
  <c r="C28" i="63"/>
  <c r="C16" i="61"/>
  <c r="C15" i="61"/>
  <c r="C7" i="61"/>
  <c r="C23" i="61"/>
  <c r="D8" i="65"/>
  <c r="C10" i="62"/>
  <c r="C13" i="61"/>
  <c r="C11" i="61"/>
  <c r="H18" i="61"/>
  <c r="H18" i="62"/>
  <c r="H18" i="65"/>
  <c r="D9" i="65"/>
  <c r="E13" i="63"/>
  <c r="C7" i="63"/>
  <c r="C18" i="63"/>
  <c r="E18" i="63" s="1"/>
  <c r="C8" i="63"/>
  <c r="C11" i="63"/>
  <c r="C21" i="63" s="1"/>
  <c r="D23" i="60"/>
  <c r="D22" i="60"/>
  <c r="D15" i="60"/>
  <c r="D12" i="60"/>
  <c r="D11" i="65"/>
  <c r="D11" i="60"/>
  <c r="D9" i="61"/>
  <c r="B29" i="61"/>
  <c r="L5" i="63"/>
  <c r="L4" i="63"/>
  <c r="H23" i="63"/>
  <c r="D15" i="58"/>
  <c r="F52" i="58"/>
  <c r="E52" i="58"/>
  <c r="E53" i="58"/>
  <c r="D13" i="58"/>
  <c r="H18" i="59"/>
  <c r="D17" i="57"/>
  <c r="F53" i="57"/>
  <c r="E53" i="57"/>
  <c r="E25" i="58"/>
  <c r="E24" i="59"/>
  <c r="D23" i="59"/>
  <c r="D22" i="59"/>
  <c r="H4" i="59"/>
  <c r="D24" i="58"/>
  <c r="D23" i="58"/>
  <c r="H4" i="58"/>
  <c r="D7" i="58"/>
  <c r="C8" i="16"/>
  <c r="D11" i="59"/>
  <c r="D9" i="60"/>
  <c r="D8" i="59"/>
  <c r="C24" i="59"/>
  <c r="D17" i="22"/>
  <c r="H18" i="60"/>
  <c r="H11" i="60"/>
  <c r="C4" i="60"/>
  <c r="C16" i="60"/>
  <c r="C12" i="60"/>
  <c r="B29" i="60"/>
  <c r="D11" i="58"/>
  <c r="D8" i="58"/>
  <c r="D11" i="22"/>
  <c r="C16" i="59"/>
  <c r="G4" i="21"/>
  <c r="E4" i="21"/>
  <c r="C11" i="59"/>
  <c r="D13" i="22"/>
  <c r="F66" i="22"/>
  <c r="E31" i="59"/>
  <c r="E32" i="59"/>
  <c r="E33" i="59"/>
  <c r="E34" i="59"/>
  <c r="E35" i="59"/>
  <c r="E36" i="59"/>
  <c r="E37" i="59"/>
  <c r="E38" i="59"/>
  <c r="E39" i="59"/>
  <c r="E40" i="59"/>
  <c r="E41" i="59"/>
  <c r="E42" i="59"/>
  <c r="E43" i="59"/>
  <c r="E44" i="59"/>
  <c r="E45" i="59"/>
  <c r="E46" i="59"/>
  <c r="E47" i="59"/>
  <c r="E48" i="59"/>
  <c r="E49" i="59"/>
  <c r="E50" i="59"/>
  <c r="E51" i="59"/>
  <c r="E30" i="59"/>
  <c r="D17" i="58"/>
  <c r="C9" i="16"/>
  <c r="D6" i="22"/>
  <c r="D21" i="22"/>
  <c r="H19" i="57"/>
  <c r="D7" i="57"/>
  <c r="D11" i="57"/>
  <c r="C17" i="58"/>
  <c r="E13" i="58"/>
  <c r="A13" i="57"/>
  <c r="A14" i="57"/>
  <c r="A15" i="57"/>
  <c r="A16" i="57"/>
  <c r="A17" i="57"/>
  <c r="A18" i="57"/>
  <c r="A19" i="57"/>
  <c r="A20" i="57"/>
  <c r="C17" i="57"/>
  <c r="E13" i="57"/>
  <c r="H3" i="58"/>
  <c r="F76" i="22"/>
  <c r="F77" i="22"/>
  <c r="C13" i="16"/>
  <c r="C17" i="16"/>
  <c r="C6" i="16"/>
  <c r="E31" i="58"/>
  <c r="E51" i="58"/>
  <c r="E50" i="58"/>
  <c r="E49" i="58"/>
  <c r="E48" i="58"/>
  <c r="E47" i="58"/>
  <c r="F47" i="58" s="1"/>
  <c r="D16" i="58" s="1"/>
  <c r="E46" i="58"/>
  <c r="E45" i="58"/>
  <c r="E44" i="58"/>
  <c r="E43" i="58"/>
  <c r="E42" i="58"/>
  <c r="E41" i="58"/>
  <c r="E40" i="58"/>
  <c r="E39" i="58"/>
  <c r="F39" i="58" s="1"/>
  <c r="E38" i="58"/>
  <c r="E37" i="58"/>
  <c r="E36" i="58"/>
  <c r="E35" i="58"/>
  <c r="E34" i="58"/>
  <c r="E33" i="58"/>
  <c r="E32" i="58"/>
  <c r="F31" i="58"/>
  <c r="D9" i="58" s="1"/>
  <c r="H19" i="58" s="1"/>
  <c r="E17" i="30"/>
  <c r="E48" i="57"/>
  <c r="E49" i="57"/>
  <c r="E50" i="57"/>
  <c r="E51" i="57"/>
  <c r="E52" i="57"/>
  <c r="C15" i="22"/>
  <c r="E33" i="57"/>
  <c r="E34" i="57"/>
  <c r="E35" i="57"/>
  <c r="E36" i="57"/>
  <c r="E37" i="57"/>
  <c r="E38" i="57"/>
  <c r="E39" i="57"/>
  <c r="E40" i="57"/>
  <c r="E41" i="57"/>
  <c r="E42" i="57"/>
  <c r="E43" i="57"/>
  <c r="E44" i="57"/>
  <c r="E45" i="57"/>
  <c r="E46" i="57"/>
  <c r="E47" i="57"/>
  <c r="F48" i="22"/>
  <c r="E32" i="57"/>
  <c r="E31" i="57"/>
  <c r="D10" i="22"/>
  <c r="D18" i="22"/>
  <c r="H3" i="22"/>
  <c r="E23" i="22"/>
  <c r="I2" i="50"/>
  <c r="F47" i="22"/>
  <c r="D22" i="22"/>
  <c r="Q23" i="30"/>
  <c r="O28" i="30"/>
  <c r="AB22" i="30"/>
  <c r="F75" i="22"/>
  <c r="F74" i="22"/>
  <c r="E9" i="30"/>
  <c r="E13" i="30"/>
  <c r="R7" i="30"/>
  <c r="V4" i="50"/>
  <c r="V3" i="50"/>
  <c r="V2" i="50"/>
  <c r="U4" i="50"/>
  <c r="U3" i="50"/>
  <c r="U2" i="50"/>
  <c r="T4" i="50"/>
  <c r="T3" i="50"/>
  <c r="T2" i="50"/>
  <c r="S4" i="50"/>
  <c r="Y4" i="50" s="1"/>
  <c r="S3" i="50"/>
  <c r="Y3" i="50" s="1"/>
  <c r="S2" i="50"/>
  <c r="R2" i="50"/>
  <c r="R4" i="50"/>
  <c r="R3" i="50"/>
  <c r="Q4" i="50"/>
  <c r="Q3" i="50"/>
  <c r="Q2" i="50"/>
  <c r="P4" i="50"/>
  <c r="P3" i="50"/>
  <c r="P2" i="50"/>
  <c r="O4" i="50"/>
  <c r="O3" i="50"/>
  <c r="O2" i="50"/>
  <c r="N4" i="50"/>
  <c r="N3" i="50"/>
  <c r="N2" i="50"/>
  <c r="M4" i="50"/>
  <c r="M3" i="50"/>
  <c r="M2" i="50"/>
  <c r="L4" i="50"/>
  <c r="L3" i="50"/>
  <c r="L2" i="50"/>
  <c r="K4" i="50"/>
  <c r="K3" i="50"/>
  <c r="K2" i="50"/>
  <c r="J4" i="50"/>
  <c r="J3" i="50"/>
  <c r="J2" i="50"/>
  <c r="B2" i="48"/>
  <c r="A2" i="48"/>
  <c r="D27" i="69"/>
  <c r="C27" i="69"/>
  <c r="E25" i="69"/>
  <c r="E24" i="69"/>
  <c r="E27" i="69" s="1"/>
  <c r="E19" i="69"/>
  <c r="E18" i="69"/>
  <c r="H17" i="69"/>
  <c r="E17" i="69"/>
  <c r="E16" i="69"/>
  <c r="E15" i="69"/>
  <c r="E14" i="69"/>
  <c r="E13" i="69"/>
  <c r="E12" i="69"/>
  <c r="E11" i="69"/>
  <c r="E10" i="69"/>
  <c r="E9" i="69"/>
  <c r="E8" i="69"/>
  <c r="A8" i="69"/>
  <c r="A9" i="69" s="1"/>
  <c r="A10" i="69" s="1"/>
  <c r="A11" i="69" s="1"/>
  <c r="A12" i="69" s="1"/>
  <c r="A13" i="69" s="1"/>
  <c r="A14" i="69" s="1"/>
  <c r="A15" i="69" s="1"/>
  <c r="A16" i="69" s="1"/>
  <c r="A17" i="69" s="1"/>
  <c r="A18" i="69" s="1"/>
  <c r="A19" i="69" s="1"/>
  <c r="E7" i="69"/>
  <c r="H5" i="69"/>
  <c r="C5" i="69"/>
  <c r="B3" i="48"/>
  <c r="A3" i="48"/>
  <c r="D25" i="68"/>
  <c r="U9" i="50" s="1"/>
  <c r="C25" i="68"/>
  <c r="U8" i="50" s="1"/>
  <c r="E23" i="68"/>
  <c r="E22" i="68"/>
  <c r="E25" i="68" s="1"/>
  <c r="D20" i="68"/>
  <c r="H20" i="68" s="1"/>
  <c r="E19" i="68"/>
  <c r="E18" i="68"/>
  <c r="H17" i="68"/>
  <c r="E17" i="68"/>
  <c r="E16" i="68"/>
  <c r="E15" i="68"/>
  <c r="E14" i="68"/>
  <c r="H13" i="68"/>
  <c r="E13" i="68"/>
  <c r="E12" i="68"/>
  <c r="E11" i="68"/>
  <c r="E10" i="68"/>
  <c r="H9" i="68"/>
  <c r="E9" i="68"/>
  <c r="E8" i="68"/>
  <c r="A8" i="68"/>
  <c r="A9" i="68" s="1"/>
  <c r="A10" i="68" s="1"/>
  <c r="A11" i="68" s="1"/>
  <c r="A12" i="68" s="1"/>
  <c r="A13" i="68" s="1"/>
  <c r="A14" i="68" s="1"/>
  <c r="A15" i="68" s="1"/>
  <c r="A16" i="68" s="1"/>
  <c r="A17" i="68" s="1"/>
  <c r="A18" i="68" s="1"/>
  <c r="A19" i="68" s="1"/>
  <c r="E7" i="68"/>
  <c r="H5" i="68"/>
  <c r="H6" i="68" s="1"/>
  <c r="H7" i="68" s="1"/>
  <c r="C5" i="68"/>
  <c r="D3" i="68"/>
  <c r="B4" i="48"/>
  <c r="A4" i="48"/>
  <c r="D25" i="67"/>
  <c r="T9" i="50" s="1"/>
  <c r="C25" i="67"/>
  <c r="T8" i="50" s="1"/>
  <c r="E22" i="67"/>
  <c r="E25" i="67" s="1"/>
  <c r="D20" i="67"/>
  <c r="H20" i="67" s="1"/>
  <c r="E19" i="67"/>
  <c r="E18" i="67"/>
  <c r="H17" i="67"/>
  <c r="E17" i="67"/>
  <c r="E16" i="67"/>
  <c r="E15" i="67"/>
  <c r="E14" i="67"/>
  <c r="H13" i="67"/>
  <c r="E13" i="67"/>
  <c r="E12" i="67"/>
  <c r="E11" i="67"/>
  <c r="E10" i="67"/>
  <c r="H9" i="67"/>
  <c r="E9" i="67"/>
  <c r="E8" i="67"/>
  <c r="A8" i="67"/>
  <c r="A9" i="67" s="1"/>
  <c r="A10" i="67" s="1"/>
  <c r="A11" i="67" s="1"/>
  <c r="A12" i="67" s="1"/>
  <c r="A13" i="67" s="1"/>
  <c r="A14" i="67" s="1"/>
  <c r="A15" i="67" s="1"/>
  <c r="A16" i="67" s="1"/>
  <c r="A17" i="67" s="1"/>
  <c r="A18" i="67" s="1"/>
  <c r="A19" i="67" s="1"/>
  <c r="E7" i="67"/>
  <c r="H5" i="67"/>
  <c r="H6" i="67" s="1"/>
  <c r="H7" i="67" s="1"/>
  <c r="C5" i="67"/>
  <c r="D3" i="67"/>
  <c r="B5" i="48"/>
  <c r="A5" i="48"/>
  <c r="D34" i="66"/>
  <c r="S9" i="50" s="1"/>
  <c r="C34" i="66"/>
  <c r="S8" i="50" s="1"/>
  <c r="E32" i="66"/>
  <c r="E31" i="66"/>
  <c r="E34" i="66" s="1"/>
  <c r="E21" i="66"/>
  <c r="H20" i="66"/>
  <c r="E20" i="66"/>
  <c r="E19" i="66"/>
  <c r="E18" i="66"/>
  <c r="E17" i="66"/>
  <c r="H16" i="66"/>
  <c r="E12" i="66"/>
  <c r="E11" i="66"/>
  <c r="E10" i="66"/>
  <c r="H9" i="66"/>
  <c r="E9" i="66"/>
  <c r="A8" i="66"/>
  <c r="A9" i="66" s="1"/>
  <c r="A10" i="66" s="1"/>
  <c r="A11" i="66" s="1"/>
  <c r="A12" i="66" s="1"/>
  <c r="A13" i="66" s="1"/>
  <c r="A14" i="66" s="1"/>
  <c r="A15" i="66" s="1"/>
  <c r="A16" i="66" s="1"/>
  <c r="A17" i="66" s="1"/>
  <c r="A18" i="66" s="1"/>
  <c r="A19" i="66" s="1"/>
  <c r="A20" i="66" s="1"/>
  <c r="A21" i="66" s="1"/>
  <c r="A22" i="66" s="1"/>
  <c r="A23" i="66" s="1"/>
  <c r="A24" i="66" s="1"/>
  <c r="A25" i="66" s="1"/>
  <c r="A26" i="66" s="1"/>
  <c r="A27" i="66" s="1"/>
  <c r="A28" i="66" s="1"/>
  <c r="E7" i="66"/>
  <c r="H5" i="66"/>
  <c r="C5" i="66"/>
  <c r="D3" i="66"/>
  <c r="B11" i="48"/>
  <c r="A11" i="48"/>
  <c r="D25" i="65"/>
  <c r="R9" i="50" s="1"/>
  <c r="C25" i="65"/>
  <c r="R8" i="50" s="1"/>
  <c r="E23" i="65"/>
  <c r="E22" i="65"/>
  <c r="E25" i="65" s="1"/>
  <c r="D20" i="65"/>
  <c r="H6" i="65" s="1"/>
  <c r="C20" i="65"/>
  <c r="E20" i="65" s="1"/>
  <c r="E19" i="65"/>
  <c r="E18" i="65"/>
  <c r="H17" i="65"/>
  <c r="E17" i="65"/>
  <c r="E16" i="65"/>
  <c r="E15" i="65"/>
  <c r="E14" i="65"/>
  <c r="H13" i="65"/>
  <c r="E13" i="65"/>
  <c r="E12" i="65"/>
  <c r="E11" i="65"/>
  <c r="E10" i="65"/>
  <c r="H9" i="65"/>
  <c r="E9" i="65"/>
  <c r="E8" i="65"/>
  <c r="A8" i="65"/>
  <c r="A9" i="65" s="1"/>
  <c r="A10" i="65" s="1"/>
  <c r="A11" i="65" s="1"/>
  <c r="A12" i="65" s="1"/>
  <c r="A13" i="65" s="1"/>
  <c r="A14" i="65" s="1"/>
  <c r="A15" i="65" s="1"/>
  <c r="A16" i="65" s="1"/>
  <c r="A17" i="65" s="1"/>
  <c r="A18" i="65" s="1"/>
  <c r="A19" i="65" s="1"/>
  <c r="E7" i="65"/>
  <c r="H5" i="65"/>
  <c r="H7" i="65" s="1"/>
  <c r="C5" i="65"/>
  <c r="D3" i="65"/>
  <c r="B6" i="48"/>
  <c r="A6" i="48"/>
  <c r="D26" i="64"/>
  <c r="C26" i="64"/>
  <c r="Q8" i="50" s="1"/>
  <c r="E24" i="64"/>
  <c r="E23" i="64"/>
  <c r="E26" i="64" s="1"/>
  <c r="D21" i="64"/>
  <c r="E20" i="64"/>
  <c r="E19" i="64"/>
  <c r="E18" i="64"/>
  <c r="E17" i="64"/>
  <c r="E16" i="64"/>
  <c r="E14" i="64"/>
  <c r="H13" i="64"/>
  <c r="E13" i="64"/>
  <c r="E12" i="64"/>
  <c r="E11" i="64"/>
  <c r="E10" i="64"/>
  <c r="H9" i="64"/>
  <c r="E9" i="64"/>
  <c r="E8" i="64"/>
  <c r="A8" i="64"/>
  <c r="A9" i="64" s="1"/>
  <c r="A10" i="64" s="1"/>
  <c r="A11" i="64" s="1"/>
  <c r="A12" i="64" s="1"/>
  <c r="A13" i="64" s="1"/>
  <c r="A14" i="64" s="1"/>
  <c r="A16" i="64" s="1"/>
  <c r="A17" i="64" s="1"/>
  <c r="A18" i="64" s="1"/>
  <c r="A19" i="64" s="1"/>
  <c r="A20" i="64" s="1"/>
  <c r="E7" i="64"/>
  <c r="C5" i="64"/>
  <c r="D3" i="64"/>
  <c r="B12" i="48"/>
  <c r="A12" i="48"/>
  <c r="D30" i="63"/>
  <c r="C30" i="63"/>
  <c r="E28" i="63"/>
  <c r="E27" i="63"/>
  <c r="E30" i="63" s="1"/>
  <c r="E23" i="63"/>
  <c r="H22" i="63"/>
  <c r="E22" i="63"/>
  <c r="E21" i="63"/>
  <c r="E20" i="63"/>
  <c r="E19" i="63"/>
  <c r="H18" i="63"/>
  <c r="E12" i="63"/>
  <c r="E11" i="63"/>
  <c r="E10" i="63"/>
  <c r="E9" i="63"/>
  <c r="A8" i="63"/>
  <c r="A9" i="63" s="1"/>
  <c r="A10" i="63" s="1"/>
  <c r="A11" i="63" s="1"/>
  <c r="A12" i="63" s="1"/>
  <c r="A18" i="63" s="1"/>
  <c r="A19" i="63" s="1"/>
  <c r="A20" i="63" s="1"/>
  <c r="A21" i="63" s="1"/>
  <c r="A22" i="63" s="1"/>
  <c r="A23" i="63" s="1"/>
  <c r="A24" i="63" s="1"/>
  <c r="E7" i="63"/>
  <c r="H5" i="63"/>
  <c r="C5" i="63"/>
  <c r="B15" i="48"/>
  <c r="A15" i="48"/>
  <c r="D25" i="62"/>
  <c r="O9" i="50" s="1"/>
  <c r="O8" i="50"/>
  <c r="E23" i="62"/>
  <c r="E22" i="62"/>
  <c r="E25" i="62" s="1"/>
  <c r="D20" i="62"/>
  <c r="C20" i="62"/>
  <c r="E19" i="62"/>
  <c r="E18" i="62"/>
  <c r="H17" i="62"/>
  <c r="E17" i="62"/>
  <c r="E16" i="62"/>
  <c r="E15" i="62"/>
  <c r="E14" i="62"/>
  <c r="H13" i="62"/>
  <c r="E13" i="62"/>
  <c r="E12" i="62"/>
  <c r="E11" i="62"/>
  <c r="E10" i="62"/>
  <c r="H9" i="62"/>
  <c r="E9" i="62"/>
  <c r="E8" i="62"/>
  <c r="A8" i="62"/>
  <c r="A9" i="62" s="1"/>
  <c r="A10" i="62" s="1"/>
  <c r="A11" i="62" s="1"/>
  <c r="A12" i="62" s="1"/>
  <c r="A13" i="62" s="1"/>
  <c r="A14" i="62" s="1"/>
  <c r="A15" i="62" s="1"/>
  <c r="A16" i="62" s="1"/>
  <c r="A17" i="62" s="1"/>
  <c r="A18" i="62" s="1"/>
  <c r="A19" i="62" s="1"/>
  <c r="E7" i="62"/>
  <c r="H5" i="62"/>
  <c r="C5" i="62"/>
  <c r="B13" i="48"/>
  <c r="A13" i="48"/>
  <c r="D25" i="61"/>
  <c r="C25" i="61"/>
  <c r="N8" i="50" s="1"/>
  <c r="E23" i="61"/>
  <c r="E22" i="61"/>
  <c r="E25" i="61" s="1"/>
  <c r="D20" i="61"/>
  <c r="C20" i="61"/>
  <c r="E20" i="61" s="1"/>
  <c r="E19" i="61"/>
  <c r="E18" i="61"/>
  <c r="H17" i="61"/>
  <c r="E17" i="61"/>
  <c r="E16" i="61"/>
  <c r="E15" i="61"/>
  <c r="E14" i="61"/>
  <c r="E13" i="61"/>
  <c r="E12" i="61"/>
  <c r="E11" i="61"/>
  <c r="E10" i="61"/>
  <c r="H9" i="61"/>
  <c r="E9" i="61"/>
  <c r="E8" i="61"/>
  <c r="A8" i="61"/>
  <c r="A9" i="61" s="1"/>
  <c r="A10" i="61" s="1"/>
  <c r="A11" i="61" s="1"/>
  <c r="A12" i="61" s="1"/>
  <c r="A13" i="61" s="1"/>
  <c r="A14" i="61" s="1"/>
  <c r="A15" i="61" s="1"/>
  <c r="A16" i="61" s="1"/>
  <c r="A17" i="61" s="1"/>
  <c r="A18" i="61" s="1"/>
  <c r="A19" i="61" s="1"/>
  <c r="E7" i="61"/>
  <c r="H5" i="61"/>
  <c r="H6" i="61" s="1"/>
  <c r="H7" i="61" s="1"/>
  <c r="C5" i="61"/>
  <c r="D3" i="61"/>
  <c r="B19" i="48"/>
  <c r="A19" i="48"/>
  <c r="D25" i="60"/>
  <c r="M9" i="50" s="1"/>
  <c r="C25" i="60"/>
  <c r="M8" i="50" s="1"/>
  <c r="E23" i="60"/>
  <c r="E22" i="60"/>
  <c r="E25" i="60" s="1"/>
  <c r="D20" i="60"/>
  <c r="C20" i="60"/>
  <c r="E20" i="60" s="1"/>
  <c r="E19" i="60"/>
  <c r="E18" i="60"/>
  <c r="H17" i="60"/>
  <c r="E17" i="60"/>
  <c r="E16" i="60"/>
  <c r="E15" i="60"/>
  <c r="E14" i="60"/>
  <c r="H13" i="60"/>
  <c r="E13" i="60"/>
  <c r="E12" i="60"/>
  <c r="E11" i="60"/>
  <c r="E10" i="60"/>
  <c r="H9" i="60"/>
  <c r="E9" i="60"/>
  <c r="E8" i="60"/>
  <c r="A8" i="60"/>
  <c r="A9" i="60" s="1"/>
  <c r="A10" i="60" s="1"/>
  <c r="A11" i="60" s="1"/>
  <c r="A12" i="60" s="1"/>
  <c r="A13" i="60" s="1"/>
  <c r="A14" i="60" s="1"/>
  <c r="A15" i="60" s="1"/>
  <c r="A16" i="60" s="1"/>
  <c r="A17" i="60" s="1"/>
  <c r="A18" i="60" s="1"/>
  <c r="A19" i="60" s="1"/>
  <c r="E7" i="60"/>
  <c r="H5" i="60"/>
  <c r="C5" i="60"/>
  <c r="D3" i="60"/>
  <c r="B9" i="48"/>
  <c r="A9" i="48"/>
  <c r="D25" i="59"/>
  <c r="C25" i="59"/>
  <c r="L8" i="50" s="1"/>
  <c r="E23" i="59"/>
  <c r="E22" i="59"/>
  <c r="C20" i="59"/>
  <c r="E19" i="59"/>
  <c r="E18" i="59"/>
  <c r="E17" i="59"/>
  <c r="E16" i="59"/>
  <c r="E14" i="59"/>
  <c r="E13" i="59"/>
  <c r="E12" i="59"/>
  <c r="E11" i="59"/>
  <c r="E10" i="59"/>
  <c r="H9" i="59"/>
  <c r="A8" i="59"/>
  <c r="A9" i="59" s="1"/>
  <c r="A10" i="59" s="1"/>
  <c r="A11" i="59" s="1"/>
  <c r="A12" i="59" s="1"/>
  <c r="A13" i="59" s="1"/>
  <c r="A14" i="59" s="1"/>
  <c r="A15" i="59" s="1"/>
  <c r="A16" i="59" s="1"/>
  <c r="A17" i="59" s="1"/>
  <c r="A18" i="59" s="1"/>
  <c r="A19" i="59" s="1"/>
  <c r="H5" i="59"/>
  <c r="C5" i="59"/>
  <c r="D3" i="59"/>
  <c r="B7" i="48"/>
  <c r="A7" i="48"/>
  <c r="D26" i="58"/>
  <c r="C26" i="58"/>
  <c r="K8" i="50" s="1"/>
  <c r="E24" i="58"/>
  <c r="E23" i="58"/>
  <c r="E26" i="58" s="1"/>
  <c r="D21" i="58"/>
  <c r="C21" i="58"/>
  <c r="E20" i="58"/>
  <c r="E19" i="58"/>
  <c r="E18" i="58"/>
  <c r="E17" i="58"/>
  <c r="E16" i="58"/>
  <c r="E15" i="58"/>
  <c r="H14" i="58"/>
  <c r="E14" i="58"/>
  <c r="E12" i="58"/>
  <c r="E11" i="58"/>
  <c r="E10" i="58"/>
  <c r="H9" i="58"/>
  <c r="E9" i="58"/>
  <c r="E8" i="58"/>
  <c r="A8" i="58"/>
  <c r="A9" i="58" s="1"/>
  <c r="A10" i="58" s="1"/>
  <c r="A11" i="58" s="1"/>
  <c r="A12" i="58" s="1"/>
  <c r="A13" i="58" s="1"/>
  <c r="A14" i="58" s="1"/>
  <c r="A15" i="58" s="1"/>
  <c r="A16" i="58" s="1"/>
  <c r="A17" i="58" s="1"/>
  <c r="A18" i="58" s="1"/>
  <c r="A19" i="58" s="1"/>
  <c r="A20" i="58" s="1"/>
  <c r="E7" i="58"/>
  <c r="H5" i="58"/>
  <c r="C5" i="58"/>
  <c r="B8" i="48"/>
  <c r="A8" i="48"/>
  <c r="A16" i="48"/>
  <c r="D26" i="57"/>
  <c r="C26" i="57"/>
  <c r="J8" i="50" s="1"/>
  <c r="E24" i="57"/>
  <c r="E23" i="57"/>
  <c r="E26" i="57" s="1"/>
  <c r="C21" i="57"/>
  <c r="E20" i="57"/>
  <c r="E19" i="57"/>
  <c r="E18" i="57"/>
  <c r="E17" i="57"/>
  <c r="E15" i="57"/>
  <c r="E14" i="57"/>
  <c r="E12" i="57"/>
  <c r="E11" i="57"/>
  <c r="E10" i="57"/>
  <c r="H9" i="57"/>
  <c r="A8" i="57"/>
  <c r="A9" i="57" s="1"/>
  <c r="A10" i="57" s="1"/>
  <c r="A11" i="57" s="1"/>
  <c r="A12" i="57" s="1"/>
  <c r="E7" i="57"/>
  <c r="H5" i="57"/>
  <c r="C5" i="57"/>
  <c r="D3" i="57"/>
  <c r="B16" i="48"/>
  <c r="A22" i="48"/>
  <c r="G3" i="50"/>
  <c r="G2" i="50"/>
  <c r="F36" i="22"/>
  <c r="F37" i="22"/>
  <c r="F38" i="22"/>
  <c r="F39" i="22"/>
  <c r="F40" i="22"/>
  <c r="F41" i="22"/>
  <c r="F42" i="22"/>
  <c r="F43" i="22"/>
  <c r="F44" i="22"/>
  <c r="F45" i="22"/>
  <c r="F46" i="22"/>
  <c r="F50" i="22"/>
  <c r="F51" i="22"/>
  <c r="F52" i="22"/>
  <c r="F53" i="22"/>
  <c r="F54" i="22"/>
  <c r="F56" i="22"/>
  <c r="F57" i="22"/>
  <c r="F58" i="22"/>
  <c r="F59" i="22"/>
  <c r="F60" i="22"/>
  <c r="F61" i="22"/>
  <c r="F62" i="22"/>
  <c r="F63" i="22"/>
  <c r="F64" i="22"/>
  <c r="F65" i="22"/>
  <c r="F67" i="22"/>
  <c r="F69" i="22"/>
  <c r="F70" i="22"/>
  <c r="F71" i="22"/>
  <c r="F72" i="22"/>
  <c r="F30" i="22"/>
  <c r="F31" i="22"/>
  <c r="F32" i="22"/>
  <c r="F33" i="22"/>
  <c r="F35" i="22"/>
  <c r="G35" i="22" s="1"/>
  <c r="F29" i="22"/>
  <c r="D8" i="22" s="1"/>
  <c r="H17" i="22" s="1"/>
  <c r="C80" i="22"/>
  <c r="D7" i="22" s="1"/>
  <c r="C10" i="22"/>
  <c r="C8" i="22"/>
  <c r="C6" i="22" s="1"/>
  <c r="C19" i="22" s="1"/>
  <c r="D24" i="22"/>
  <c r="G9" i="50" s="1"/>
  <c r="C24" i="22"/>
  <c r="G8" i="50" s="1"/>
  <c r="E22" i="22"/>
  <c r="E21" i="22"/>
  <c r="E24" i="22" s="1"/>
  <c r="E18" i="22"/>
  <c r="E16" i="22"/>
  <c r="E13" i="22"/>
  <c r="H12" i="22"/>
  <c r="E12" i="22"/>
  <c r="E11" i="22"/>
  <c r="E10" i="22"/>
  <c r="E9" i="22"/>
  <c r="H8" i="22"/>
  <c r="A7" i="22"/>
  <c r="A8" i="22" s="1"/>
  <c r="A9" i="22" s="1"/>
  <c r="A10" i="22" s="1"/>
  <c r="A11" i="22" s="1"/>
  <c r="A12" i="22" s="1"/>
  <c r="A13" i="22" s="1"/>
  <c r="A14" i="22" s="1"/>
  <c r="A15" i="22" s="1"/>
  <c r="A16" i="22" s="1"/>
  <c r="A17" i="22" s="1"/>
  <c r="A18" i="22" s="1"/>
  <c r="E6" i="22"/>
  <c r="C4" i="22"/>
  <c r="D2" i="22"/>
  <c r="C42" i="30"/>
  <c r="E6" i="30"/>
  <c r="O5" i="30"/>
  <c r="I4" i="50"/>
  <c r="I3" i="50"/>
  <c r="I14" i="50"/>
  <c r="D3" i="56"/>
  <c r="H20" i="18"/>
  <c r="G20" i="18"/>
  <c r="D23" i="56"/>
  <c r="E23" i="56"/>
  <c r="C23" i="56"/>
  <c r="C3" i="56"/>
  <c r="D18" i="56"/>
  <c r="E6" i="56"/>
  <c r="E7" i="56"/>
  <c r="E8" i="56"/>
  <c r="E12" i="56"/>
  <c r="E13" i="56"/>
  <c r="E15" i="56"/>
  <c r="E16" i="56"/>
  <c r="E17" i="56"/>
  <c r="E20" i="56"/>
  <c r="E21" i="56"/>
  <c r="E5" i="56"/>
  <c r="C9" i="56"/>
  <c r="E9" i="56" s="1"/>
  <c r="C11" i="56"/>
  <c r="E11" i="56" s="1"/>
  <c r="C10" i="56"/>
  <c r="E10" i="56" s="1"/>
  <c r="A6" i="56"/>
  <c r="A7" i="56" s="1"/>
  <c r="A8" i="56" s="1"/>
  <c r="A9" i="56" s="1"/>
  <c r="A10" i="56" s="1"/>
  <c r="A11" i="56" s="1"/>
  <c r="A12" i="56" s="1"/>
  <c r="A13" i="56" s="1"/>
  <c r="A14" i="56" s="1"/>
  <c r="A15" i="56" s="1"/>
  <c r="A16" i="56" s="1"/>
  <c r="A17" i="56" s="1"/>
  <c r="C8" i="4"/>
  <c r="C8" i="18"/>
  <c r="E4" i="30"/>
  <c r="C4" i="30"/>
  <c r="C7" i="4"/>
  <c r="C6" i="30"/>
  <c r="AA9" i="16"/>
  <c r="AA8" i="16"/>
  <c r="C8" i="30"/>
  <c r="C17" i="30"/>
  <c r="C18" i="18"/>
  <c r="I19" i="16"/>
  <c r="M24" i="21"/>
  <c r="C16" i="30"/>
  <c r="K16" i="30" s="1"/>
  <c r="C14" i="18"/>
  <c r="M4" i="16"/>
  <c r="N24" i="18"/>
  <c r="C16" i="18"/>
  <c r="C9" i="18"/>
  <c r="C9" i="17"/>
  <c r="C9" i="4"/>
  <c r="C14" i="4"/>
  <c r="C26" i="4"/>
  <c r="C25" i="4"/>
  <c r="C24" i="4"/>
  <c r="M4" i="4"/>
  <c r="I21" i="4" s="1"/>
  <c r="Q7" i="30"/>
  <c r="B40" i="4"/>
  <c r="C13" i="30"/>
  <c r="C9" i="30" s="1"/>
  <c r="C16" i="16"/>
  <c r="Q6" i="30"/>
  <c r="C8" i="17"/>
  <c r="O27" i="30"/>
  <c r="C24" i="30"/>
  <c r="C23" i="30"/>
  <c r="C22" i="30"/>
  <c r="B43" i="16"/>
  <c r="X7" i="18"/>
  <c r="H4" i="18" s="1"/>
  <c r="C14" i="16"/>
  <c r="K44" i="30"/>
  <c r="C4" i="16"/>
  <c r="C15" i="30"/>
  <c r="K43" i="30"/>
  <c r="C15" i="18"/>
  <c r="C18" i="4"/>
  <c r="C38" i="30"/>
  <c r="B40" i="30"/>
  <c r="C40" i="30"/>
  <c r="D40" i="30" s="1"/>
  <c r="D38" i="30"/>
  <c r="O4" i="30"/>
  <c r="G13" i="18"/>
  <c r="I13" i="4"/>
  <c r="M24" i="18"/>
  <c r="X24" i="18" s="1"/>
  <c r="C17" i="17"/>
  <c r="C6" i="21"/>
  <c r="C9" i="21"/>
  <c r="Z26" i="16"/>
  <c r="Q25" i="4"/>
  <c r="C15" i="4"/>
  <c r="C16" i="4"/>
  <c r="C16" i="21"/>
  <c r="C14" i="21"/>
  <c r="B39" i="18"/>
  <c r="C6" i="18" s="1"/>
  <c r="G16" i="21"/>
  <c r="C4" i="18"/>
  <c r="C25" i="18"/>
  <c r="C24" i="18"/>
  <c r="C23" i="18"/>
  <c r="K17" i="18"/>
  <c r="K28" i="18"/>
  <c r="X23" i="18" s="1"/>
  <c r="M23" i="18" s="1"/>
  <c r="N23" i="18" s="1"/>
  <c r="M6" i="18"/>
  <c r="N6" i="18" s="1"/>
  <c r="K6" i="18"/>
  <c r="C24" i="16"/>
  <c r="C23" i="16"/>
  <c r="C22" i="16"/>
  <c r="Q6" i="16"/>
  <c r="O6" i="16"/>
  <c r="Z25" i="16"/>
  <c r="O25" i="16" s="1"/>
  <c r="M6" i="16"/>
  <c r="O25" i="4"/>
  <c r="Z25" i="4" s="1"/>
  <c r="M29" i="4" s="1"/>
  <c r="B38" i="17"/>
  <c r="C6" i="17" s="1"/>
  <c r="C6" i="4"/>
  <c r="I4" i="16"/>
  <c r="O6" i="4"/>
  <c r="P6" i="4" s="1"/>
  <c r="Q6" i="4" s="1"/>
  <c r="G12" i="16"/>
  <c r="C12" i="16"/>
  <c r="M6" i="4"/>
  <c r="Z24" i="4"/>
  <c r="O24" i="4" s="1"/>
  <c r="P24" i="4" s="1"/>
  <c r="Q24" i="4" s="1"/>
  <c r="B40" i="16"/>
  <c r="B39" i="16"/>
  <c r="B38" i="16"/>
  <c r="B41" i="16" s="1"/>
  <c r="R5" i="50"/>
  <c r="K23" i="18"/>
  <c r="Z7" i="4"/>
  <c r="E10" i="18"/>
  <c r="H4" i="50"/>
  <c r="H3" i="50"/>
  <c r="F4" i="50"/>
  <c r="F3" i="50"/>
  <c r="E4" i="50"/>
  <c r="E3" i="50"/>
  <c r="D4" i="50"/>
  <c r="D3" i="50"/>
  <c r="B3" i="50"/>
  <c r="C4" i="50"/>
  <c r="C3" i="50"/>
  <c r="O22" i="30"/>
  <c r="O18" i="30"/>
  <c r="G4" i="18"/>
  <c r="B14" i="48" s="1"/>
  <c r="K19" i="18"/>
  <c r="X23" i="21"/>
  <c r="D14" i="21"/>
  <c r="H19" i="21"/>
  <c r="K22" i="21"/>
  <c r="K18" i="21"/>
  <c r="B17" i="48"/>
  <c r="J21" i="4"/>
  <c r="N24" i="17"/>
  <c r="D4" i="17"/>
  <c r="H4" i="17"/>
  <c r="G16" i="17"/>
  <c r="H20" i="17"/>
  <c r="C4" i="17"/>
  <c r="G4" i="17"/>
  <c r="B20" i="48" s="1"/>
  <c r="K22" i="17"/>
  <c r="K18" i="17"/>
  <c r="K28" i="17"/>
  <c r="K27" i="17"/>
  <c r="J19" i="16"/>
  <c r="B21" i="48"/>
  <c r="I17" i="4"/>
  <c r="D15" i="4"/>
  <c r="E12" i="30"/>
  <c r="D14" i="17"/>
  <c r="F8" i="50"/>
  <c r="N6" i="17"/>
  <c r="AB7" i="30"/>
  <c r="O23" i="30"/>
  <c r="Z20" i="30"/>
  <c r="AA20" i="30"/>
  <c r="K7" i="30"/>
  <c r="K8" i="30"/>
  <c r="K9" i="30"/>
  <c r="K13" i="30"/>
  <c r="K14" i="30"/>
  <c r="K15" i="30"/>
  <c r="K17" i="30"/>
  <c r="K6" i="30"/>
  <c r="O13" i="30"/>
  <c r="J14" i="30"/>
  <c r="J6" i="30"/>
  <c r="C10" i="30"/>
  <c r="E10" i="30"/>
  <c r="G10" i="30"/>
  <c r="C11" i="30"/>
  <c r="E11" i="30"/>
  <c r="G11" i="30"/>
  <c r="G12" i="30"/>
  <c r="H14" i="30"/>
  <c r="G5" i="30"/>
  <c r="G18" i="30"/>
  <c r="H18" i="30"/>
  <c r="H6" i="30"/>
  <c r="H9" i="30"/>
  <c r="H8" i="50"/>
  <c r="I6" i="4"/>
  <c r="I7" i="4"/>
  <c r="G18" i="18"/>
  <c r="M24" i="4"/>
  <c r="A10" i="48"/>
  <c r="H2" i="50"/>
  <c r="G4" i="4"/>
  <c r="D4" i="18"/>
  <c r="F2" i="50"/>
  <c r="D4" i="16"/>
  <c r="I8" i="4"/>
  <c r="I15" i="4"/>
  <c r="H15" i="4"/>
  <c r="G10" i="4"/>
  <c r="G11" i="4"/>
  <c r="G12" i="4"/>
  <c r="H9" i="4"/>
  <c r="H6" i="4"/>
  <c r="G5" i="4"/>
  <c r="G20" i="4"/>
  <c r="H20" i="4"/>
  <c r="I14" i="4"/>
  <c r="E9" i="50"/>
  <c r="E8" i="50"/>
  <c r="E2" i="50"/>
  <c r="K24" i="18"/>
  <c r="I18" i="4"/>
  <c r="I16" i="4"/>
  <c r="R22" i="17"/>
  <c r="Q22" i="17"/>
  <c r="P22" i="17"/>
  <c r="O22" i="17"/>
  <c r="N22" i="17"/>
  <c r="D2" i="50"/>
  <c r="I9" i="4"/>
  <c r="I7" i="16"/>
  <c r="I8" i="16"/>
  <c r="I9" i="16"/>
  <c r="I13" i="16"/>
  <c r="I14" i="16"/>
  <c r="I15" i="16"/>
  <c r="I17" i="16"/>
  <c r="I6" i="16"/>
  <c r="H14" i="16"/>
  <c r="G10" i="16"/>
  <c r="G11" i="16"/>
  <c r="H9" i="16"/>
  <c r="H6" i="16"/>
  <c r="G5" i="16"/>
  <c r="J4" i="16"/>
  <c r="C2" i="50"/>
  <c r="B2" i="50"/>
  <c r="C10" i="21"/>
  <c r="M23" i="21"/>
  <c r="N23" i="21"/>
  <c r="D8" i="50"/>
  <c r="C8" i="50"/>
  <c r="B8" i="50"/>
  <c r="U5" i="50"/>
  <c r="M5" i="50"/>
  <c r="L5" i="50"/>
  <c r="V5" i="50"/>
  <c r="T5" i="50"/>
  <c r="N5" i="50"/>
  <c r="K5" i="50"/>
  <c r="D5" i="50"/>
  <c r="F5" i="50"/>
  <c r="I5" i="50"/>
  <c r="O5" i="50"/>
  <c r="S5" i="50"/>
  <c r="Y5" i="50" s="1"/>
  <c r="H5" i="50"/>
  <c r="A17" i="48"/>
  <c r="A14" i="48"/>
  <c r="A20" i="48"/>
  <c r="A21" i="48"/>
  <c r="A18" i="48"/>
  <c r="S10" i="50"/>
  <c r="F14" i="30"/>
  <c r="F9" i="30"/>
  <c r="H9" i="50"/>
  <c r="L6" i="30"/>
  <c r="F6" i="30"/>
  <c r="D6" i="30"/>
  <c r="E5" i="30"/>
  <c r="E18" i="30"/>
  <c r="F18" i="30"/>
  <c r="K23" i="17"/>
  <c r="D9" i="50"/>
  <c r="D10" i="50"/>
  <c r="H10" i="50"/>
  <c r="C12" i="17"/>
  <c r="G10" i="50"/>
  <c r="C12" i="21"/>
  <c r="G17" i="21"/>
  <c r="G15" i="21"/>
  <c r="G14" i="21"/>
  <c r="X24" i="21"/>
  <c r="F14" i="21"/>
  <c r="G13" i="21"/>
  <c r="E10" i="21"/>
  <c r="E11" i="21"/>
  <c r="E12" i="21"/>
  <c r="G9" i="21"/>
  <c r="F9" i="21"/>
  <c r="G8" i="21"/>
  <c r="X7" i="21"/>
  <c r="F9" i="50"/>
  <c r="F10" i="50"/>
  <c r="G7" i="21"/>
  <c r="G6" i="21"/>
  <c r="K13" i="21"/>
  <c r="H6" i="21"/>
  <c r="F6" i="21"/>
  <c r="D6" i="21"/>
  <c r="E18" i="21"/>
  <c r="F18" i="21"/>
  <c r="H4" i="21"/>
  <c r="G16" i="18"/>
  <c r="G15" i="18"/>
  <c r="K29" i="18"/>
  <c r="K30" i="18"/>
  <c r="H15" i="18"/>
  <c r="F15" i="18"/>
  <c r="D15" i="18"/>
  <c r="G14" i="18"/>
  <c r="E11" i="18"/>
  <c r="C10" i="18"/>
  <c r="G9" i="18"/>
  <c r="G8" i="18"/>
  <c r="G7" i="18"/>
  <c r="F6" i="18"/>
  <c r="G17" i="17"/>
  <c r="G15" i="17"/>
  <c r="G14" i="17"/>
  <c r="F14" i="17"/>
  <c r="G13" i="17"/>
  <c r="E10" i="17"/>
  <c r="E11" i="17"/>
  <c r="E12" i="17"/>
  <c r="C10" i="17"/>
  <c r="G9" i="17"/>
  <c r="F9" i="17"/>
  <c r="G8" i="17"/>
  <c r="G7" i="17"/>
  <c r="G6" i="17"/>
  <c r="H6" i="17"/>
  <c r="F6" i="17"/>
  <c r="D6" i="17"/>
  <c r="E5" i="17"/>
  <c r="M28" i="16"/>
  <c r="F14" i="16"/>
  <c r="D14" i="16"/>
  <c r="E10" i="16"/>
  <c r="E11" i="16"/>
  <c r="C10" i="16"/>
  <c r="I10" i="16"/>
  <c r="Z7" i="16"/>
  <c r="AA7" i="16" s="1"/>
  <c r="C9" i="50"/>
  <c r="C10" i="50"/>
  <c r="F6" i="16"/>
  <c r="D6" i="16"/>
  <c r="U10" i="50"/>
  <c r="E12" i="16"/>
  <c r="F9" i="16"/>
  <c r="C11" i="21"/>
  <c r="G10" i="21"/>
  <c r="G6" i="18"/>
  <c r="K13" i="18" s="1"/>
  <c r="D6" i="18"/>
  <c r="C11" i="18"/>
  <c r="G10" i="18"/>
  <c r="C11" i="16"/>
  <c r="I11" i="16"/>
  <c r="E19" i="17"/>
  <c r="F19" i="17"/>
  <c r="C11" i="17"/>
  <c r="G10" i="17"/>
  <c r="M22" i="16"/>
  <c r="P6" i="16"/>
  <c r="E5" i="16"/>
  <c r="G12" i="21"/>
  <c r="G11" i="21"/>
  <c r="D9" i="21"/>
  <c r="G11" i="18"/>
  <c r="H6" i="18"/>
  <c r="G12" i="17"/>
  <c r="D14" i="50" s="1"/>
  <c r="G11" i="17"/>
  <c r="D9" i="17"/>
  <c r="F15" i="4"/>
  <c r="F6" i="4"/>
  <c r="D6" i="4"/>
  <c r="H9" i="21"/>
  <c r="Y7" i="21" s="1"/>
  <c r="J6" i="4"/>
  <c r="M13" i="4" s="1"/>
  <c r="E10" i="4"/>
  <c r="C10" i="4"/>
  <c r="E11" i="4"/>
  <c r="C11" i="4"/>
  <c r="E12" i="4"/>
  <c r="E5" i="4"/>
  <c r="F9" i="4"/>
  <c r="E5" i="50"/>
  <c r="M13" i="16"/>
  <c r="E10" i="50"/>
  <c r="I11" i="4"/>
  <c r="I10" i="4"/>
  <c r="M23" i="16"/>
  <c r="J6" i="16"/>
  <c r="B9" i="50"/>
  <c r="B10" i="50"/>
  <c r="G18" i="16"/>
  <c r="H18" i="16"/>
  <c r="E18" i="16"/>
  <c r="F18" i="16"/>
  <c r="I10" i="30"/>
  <c r="K10" i="30"/>
  <c r="I11" i="30"/>
  <c r="K11" i="30"/>
  <c r="I12" i="30"/>
  <c r="J9" i="30"/>
  <c r="I5" i="30"/>
  <c r="I18" i="30"/>
  <c r="J18" i="30"/>
  <c r="M10" i="50"/>
  <c r="K28" i="21"/>
  <c r="H14" i="21"/>
  <c r="C5" i="21"/>
  <c r="C18" i="21"/>
  <c r="K23" i="21"/>
  <c r="K29" i="21"/>
  <c r="G5" i="21"/>
  <c r="O29" i="30"/>
  <c r="C12" i="18"/>
  <c r="B23" i="21"/>
  <c r="B22" i="21"/>
  <c r="B24" i="21"/>
  <c r="K17" i="21"/>
  <c r="K19" i="21"/>
  <c r="K24" i="21"/>
  <c r="M30" i="4"/>
  <c r="M23" i="4"/>
  <c r="M19" i="4"/>
  <c r="K17" i="17"/>
  <c r="K13" i="17"/>
  <c r="K19" i="17"/>
  <c r="J15" i="4"/>
  <c r="J14" i="16"/>
  <c r="M18" i="16"/>
  <c r="M29" i="16"/>
  <c r="M19" i="16"/>
  <c r="M24" i="16"/>
  <c r="M17" i="16"/>
  <c r="N25" i="17"/>
  <c r="Y25" i="17"/>
  <c r="O10" i="50"/>
  <c r="D18" i="21"/>
  <c r="G18" i="21"/>
  <c r="F13" i="50" s="1"/>
  <c r="H18" i="21"/>
  <c r="E12" i="18"/>
  <c r="G12" i="18"/>
  <c r="E14" i="50" s="1"/>
  <c r="C5" i="18"/>
  <c r="C19" i="18"/>
  <c r="D19" i="18"/>
  <c r="K24" i="17"/>
  <c r="C5" i="50"/>
  <c r="J5" i="50"/>
  <c r="J14" i="50" s="1"/>
  <c r="P5" i="50"/>
  <c r="F12" i="50"/>
  <c r="G5" i="18"/>
  <c r="G19" i="18"/>
  <c r="F9" i="18"/>
  <c r="E5" i="18"/>
  <c r="E19" i="18"/>
  <c r="F19" i="18"/>
  <c r="E20" i="4"/>
  <c r="F20" i="4"/>
  <c r="B23" i="18"/>
  <c r="B25" i="18"/>
  <c r="E13" i="50"/>
  <c r="H19" i="18"/>
  <c r="C5" i="16"/>
  <c r="C14" i="48"/>
  <c r="E12" i="50"/>
  <c r="I12" i="16"/>
  <c r="C14" i="50" s="1"/>
  <c r="I5" i="16"/>
  <c r="B22" i="16"/>
  <c r="D9" i="16"/>
  <c r="C18" i="16"/>
  <c r="D18" i="16"/>
  <c r="Q5" i="50"/>
  <c r="J9" i="16"/>
  <c r="B23" i="16"/>
  <c r="B24" i="16"/>
  <c r="I18" i="16"/>
  <c r="J18" i="16" s="1"/>
  <c r="C13" i="50"/>
  <c r="C21" i="48"/>
  <c r="C12" i="50"/>
  <c r="V8" i="50" l="1"/>
  <c r="H9" i="69"/>
  <c r="V9" i="50"/>
  <c r="V10" i="50" s="1"/>
  <c r="H13" i="69"/>
  <c r="C25" i="74"/>
  <c r="H5" i="74"/>
  <c r="H11" i="74"/>
  <c r="H10" i="74"/>
  <c r="D5" i="74"/>
  <c r="D24" i="74"/>
  <c r="E24" i="74"/>
  <c r="D29" i="74"/>
  <c r="E26" i="74"/>
  <c r="E29" i="74" s="1"/>
  <c r="D22" i="73"/>
  <c r="E7" i="73"/>
  <c r="E15" i="73"/>
  <c r="D27" i="73"/>
  <c r="E24" i="73"/>
  <c r="C27" i="73"/>
  <c r="E25" i="73"/>
  <c r="H20" i="62"/>
  <c r="H6" i="62"/>
  <c r="H7" i="62" s="1"/>
  <c r="H21" i="64"/>
  <c r="H6" i="64"/>
  <c r="H7" i="64" s="1"/>
  <c r="H6" i="69"/>
  <c r="H7" i="69" s="1"/>
  <c r="H22" i="69"/>
  <c r="W14" i="50"/>
  <c r="I4" i="72"/>
  <c r="I3" i="72"/>
  <c r="I6" i="72" s="1"/>
  <c r="E20" i="68"/>
  <c r="C21" i="68"/>
  <c r="E20" i="67"/>
  <c r="C21" i="67"/>
  <c r="H16" i="64"/>
  <c r="D22" i="72"/>
  <c r="H6" i="72" s="1"/>
  <c r="H19" i="72"/>
  <c r="H15" i="72"/>
  <c r="H17" i="72" s="1"/>
  <c r="E7" i="72"/>
  <c r="E17" i="72"/>
  <c r="C27" i="72"/>
  <c r="W8" i="50" s="1"/>
  <c r="W10" i="50" s="1"/>
  <c r="E25" i="72"/>
  <c r="E27" i="72" s="1"/>
  <c r="P9" i="50"/>
  <c r="H19" i="63"/>
  <c r="E21" i="64"/>
  <c r="H11" i="64"/>
  <c r="E22" i="69"/>
  <c r="E20" i="62"/>
  <c r="C21" i="62"/>
  <c r="C30" i="66"/>
  <c r="V13" i="50"/>
  <c r="C2" i="48"/>
  <c r="U13" i="50"/>
  <c r="C3" i="48"/>
  <c r="L4" i="66"/>
  <c r="Q9" i="50"/>
  <c r="Q10" i="50" s="1"/>
  <c r="H18" i="64"/>
  <c r="T13" i="50"/>
  <c r="C4" i="48"/>
  <c r="L6" i="66"/>
  <c r="E7" i="32"/>
  <c r="D24" i="32"/>
  <c r="H7" i="32" s="1"/>
  <c r="E11" i="32"/>
  <c r="D29" i="32"/>
  <c r="I9" i="50" s="1"/>
  <c r="E26" i="32"/>
  <c r="C29" i="32"/>
  <c r="E27" i="32"/>
  <c r="P8" i="50"/>
  <c r="P10" i="50" s="1"/>
  <c r="H9" i="63"/>
  <c r="H13" i="61"/>
  <c r="N9" i="50"/>
  <c r="N10" i="50" s="1"/>
  <c r="C25" i="63"/>
  <c r="C26" i="63" s="1"/>
  <c r="H6" i="60"/>
  <c r="H7" i="60" s="1"/>
  <c r="L3" i="63"/>
  <c r="L6" i="63" s="1"/>
  <c r="R13" i="50"/>
  <c r="C11" i="48"/>
  <c r="C6" i="48"/>
  <c r="Q13" i="50"/>
  <c r="I13" i="50"/>
  <c r="C16" i="48"/>
  <c r="L9" i="50"/>
  <c r="L10" i="50" s="1"/>
  <c r="D7" i="59"/>
  <c r="C13" i="48"/>
  <c r="N13" i="50"/>
  <c r="C15" i="48"/>
  <c r="O13" i="50"/>
  <c r="C19" i="48"/>
  <c r="E13" i="48" s="1"/>
  <c r="M13" i="50"/>
  <c r="C17" i="48"/>
  <c r="K9" i="50"/>
  <c r="K10" i="50" s="1"/>
  <c r="H18" i="58"/>
  <c r="E21" i="58"/>
  <c r="D3" i="58"/>
  <c r="J9" i="50"/>
  <c r="J10" i="50" s="1"/>
  <c r="H14" i="57"/>
  <c r="F31" i="57"/>
  <c r="D9" i="57" s="1"/>
  <c r="F39" i="57"/>
  <c r="D8" i="57" s="1"/>
  <c r="D21" i="57" s="1"/>
  <c r="H6" i="57" s="1"/>
  <c r="F48" i="57"/>
  <c r="D16" i="57" s="1"/>
  <c r="E16" i="57" s="1"/>
  <c r="I10" i="50"/>
  <c r="E15" i="22"/>
  <c r="E14" i="22"/>
  <c r="E17" i="22"/>
  <c r="C7" i="48"/>
  <c r="E11" i="48" s="1"/>
  <c r="K13" i="50"/>
  <c r="H4" i="22"/>
  <c r="G14" i="50" s="1"/>
  <c r="E7" i="22"/>
  <c r="B22" i="48"/>
  <c r="G4" i="50"/>
  <c r="G5" i="50" s="1"/>
  <c r="V14" i="50"/>
  <c r="V12" i="50"/>
  <c r="U14" i="50"/>
  <c r="U12" i="50"/>
  <c r="T14" i="50"/>
  <c r="T12" i="50"/>
  <c r="S14" i="50"/>
  <c r="Y14" i="50" s="1"/>
  <c r="R14" i="50"/>
  <c r="R12" i="50"/>
  <c r="Q14" i="50"/>
  <c r="Q12" i="50"/>
  <c r="P14" i="50"/>
  <c r="O14" i="50"/>
  <c r="O12" i="50"/>
  <c r="N14" i="50"/>
  <c r="N12" i="50"/>
  <c r="M14" i="50"/>
  <c r="M12" i="50"/>
  <c r="L14" i="50"/>
  <c r="K14" i="50"/>
  <c r="K12" i="50"/>
  <c r="H14" i="69"/>
  <c r="H15" i="69" s="1"/>
  <c r="H10" i="69"/>
  <c r="D5" i="69"/>
  <c r="H11" i="69"/>
  <c r="H14" i="68"/>
  <c r="H15" i="68" s="1"/>
  <c r="H10" i="68"/>
  <c r="D5" i="68"/>
  <c r="H11" i="68"/>
  <c r="H14" i="67"/>
  <c r="H15" i="67" s="1"/>
  <c r="H10" i="67"/>
  <c r="D5" i="67"/>
  <c r="H11" i="67"/>
  <c r="H17" i="66"/>
  <c r="H18" i="66" s="1"/>
  <c r="H10" i="66"/>
  <c r="D5" i="66"/>
  <c r="H11" i="66"/>
  <c r="I12" i="50"/>
  <c r="H14" i="65"/>
  <c r="H15" i="65" s="1"/>
  <c r="H10" i="65"/>
  <c r="D5" i="65"/>
  <c r="H11" i="65"/>
  <c r="H14" i="64"/>
  <c r="H10" i="64"/>
  <c r="D5" i="64"/>
  <c r="H20" i="63"/>
  <c r="H10" i="63"/>
  <c r="D5" i="63"/>
  <c r="H11" i="63"/>
  <c r="H14" i="62"/>
  <c r="H15" i="62" s="1"/>
  <c r="H10" i="62"/>
  <c r="D5" i="62"/>
  <c r="H11" i="62"/>
  <c r="H14" i="61"/>
  <c r="H15" i="61" s="1"/>
  <c r="H10" i="61"/>
  <c r="D5" i="61"/>
  <c r="H11" i="61"/>
  <c r="H14" i="60"/>
  <c r="H15" i="60" s="1"/>
  <c r="H10" i="60"/>
  <c r="D5" i="60"/>
  <c r="H14" i="59"/>
  <c r="H10" i="59"/>
  <c r="D5" i="59"/>
  <c r="H11" i="59"/>
  <c r="H15" i="58"/>
  <c r="H16" i="58" s="1"/>
  <c r="H10" i="58"/>
  <c r="D5" i="58"/>
  <c r="H11" i="58"/>
  <c r="H15" i="57"/>
  <c r="H16" i="57" s="1"/>
  <c r="H10" i="57"/>
  <c r="D5" i="57"/>
  <c r="H11" i="57"/>
  <c r="G69" i="22"/>
  <c r="H69" i="22" s="1"/>
  <c r="H13" i="22"/>
  <c r="H14" i="22" s="1"/>
  <c r="H9" i="22"/>
  <c r="D4" i="22"/>
  <c r="H10" i="22"/>
  <c r="C14" i="56"/>
  <c r="AB23" i="30"/>
  <c r="L14" i="30"/>
  <c r="K19" i="30"/>
  <c r="L19" i="30" s="1"/>
  <c r="D14" i="30"/>
  <c r="M18" i="4"/>
  <c r="M20" i="4" s="1"/>
  <c r="M25" i="4" s="1"/>
  <c r="M5" i="4"/>
  <c r="H9" i="18"/>
  <c r="D9" i="18"/>
  <c r="Q25" i="16"/>
  <c r="P25" i="16"/>
  <c r="H14" i="17"/>
  <c r="G5" i="17"/>
  <c r="H9" i="17"/>
  <c r="B24" i="17" s="1"/>
  <c r="C5" i="17"/>
  <c r="C19" i="17" s="1"/>
  <c r="D19" i="17" s="1"/>
  <c r="T10" i="50"/>
  <c r="R10" i="50"/>
  <c r="H18" i="74" l="1"/>
  <c r="H21" i="74"/>
  <c r="H17" i="74"/>
  <c r="H24" i="74"/>
  <c r="H6" i="74"/>
  <c r="H7" i="74" s="1"/>
  <c r="H10" i="73"/>
  <c r="H9" i="73"/>
  <c r="H11" i="73" s="1"/>
  <c r="E27" i="73"/>
  <c r="H14" i="73"/>
  <c r="H17" i="73"/>
  <c r="H13" i="73"/>
  <c r="E16" i="73"/>
  <c r="C22" i="73"/>
  <c r="H22" i="73"/>
  <c r="H22" i="72"/>
  <c r="E8" i="66"/>
  <c r="D29" i="66"/>
  <c r="H29" i="66" s="1"/>
  <c r="C23" i="69"/>
  <c r="D3" i="69"/>
  <c r="H7" i="72"/>
  <c r="C23" i="48" s="1"/>
  <c r="E23" i="48"/>
  <c r="W13" i="50"/>
  <c r="W12" i="50" s="1"/>
  <c r="H10" i="72"/>
  <c r="H9" i="72"/>
  <c r="H11" i="72" s="1"/>
  <c r="E18" i="72"/>
  <c r="E17" i="48"/>
  <c r="H10" i="32"/>
  <c r="E29" i="32"/>
  <c r="H18" i="32"/>
  <c r="H21" i="32"/>
  <c r="H17" i="32"/>
  <c r="E20" i="32"/>
  <c r="C24" i="32"/>
  <c r="E8" i="63"/>
  <c r="D25" i="63"/>
  <c r="E25" i="63"/>
  <c r="D3" i="63"/>
  <c r="H13" i="59"/>
  <c r="H15" i="59" s="1"/>
  <c r="E7" i="59"/>
  <c r="E8" i="57"/>
  <c r="H18" i="57"/>
  <c r="E9" i="57"/>
  <c r="D19" i="22"/>
  <c r="H5" i="22" s="1"/>
  <c r="H16" i="22"/>
  <c r="E8" i="22"/>
  <c r="C18" i="56"/>
  <c r="E14" i="56"/>
  <c r="C12" i="30"/>
  <c r="K4" i="30"/>
  <c r="B10" i="48" s="1"/>
  <c r="B4" i="50"/>
  <c r="C4" i="4"/>
  <c r="K18" i="18"/>
  <c r="K20" i="18" s="1"/>
  <c r="K25" i="18" s="1"/>
  <c r="B24" i="18"/>
  <c r="G19" i="17"/>
  <c r="B23" i="17"/>
  <c r="B25" i="17"/>
  <c r="H11" i="32" l="1"/>
  <c r="C25" i="32"/>
  <c r="H19" i="74"/>
  <c r="E22" i="73"/>
  <c r="U20" i="73"/>
  <c r="D5" i="73"/>
  <c r="D3" i="73"/>
  <c r="C23" i="73"/>
  <c r="H15" i="73"/>
  <c r="H6" i="63"/>
  <c r="H25" i="63"/>
  <c r="E29" i="66"/>
  <c r="H6" i="66"/>
  <c r="C23" i="72"/>
  <c r="E22" i="72"/>
  <c r="D5" i="72"/>
  <c r="D3" i="72"/>
  <c r="E24" i="32"/>
  <c r="D5" i="32"/>
  <c r="D3" i="32"/>
  <c r="H19" i="32"/>
  <c r="H7" i="63"/>
  <c r="C12" i="48"/>
  <c r="P13" i="50"/>
  <c r="P12" i="50" s="1"/>
  <c r="E21" i="57"/>
  <c r="E19" i="22"/>
  <c r="H6" i="22"/>
  <c r="E18" i="56"/>
  <c r="D1" i="56"/>
  <c r="D9" i="30"/>
  <c r="K12" i="30"/>
  <c r="C5" i="30"/>
  <c r="C18" i="30" s="1"/>
  <c r="D18" i="30" s="1"/>
  <c r="I4" i="4"/>
  <c r="C12" i="4"/>
  <c r="B5" i="50"/>
  <c r="D13" i="50"/>
  <c r="H19" i="17"/>
  <c r="H7" i="66" l="1"/>
  <c r="S13" i="50"/>
  <c r="Y13" i="50" s="1"/>
  <c r="C5" i="48"/>
  <c r="H7" i="57"/>
  <c r="C8" i="48"/>
  <c r="E21" i="48" s="1"/>
  <c r="J13" i="50"/>
  <c r="J12" i="50" s="1"/>
  <c r="C22" i="48"/>
  <c r="E22" i="48" s="1"/>
  <c r="G13" i="50"/>
  <c r="G12" i="50"/>
  <c r="H14" i="50"/>
  <c r="K5" i="30"/>
  <c r="L9" i="30"/>
  <c r="D9" i="4"/>
  <c r="C5" i="4"/>
  <c r="C20" i="4" s="1"/>
  <c r="D20" i="4" s="1"/>
  <c r="I12" i="4"/>
  <c r="B18" i="48"/>
  <c r="D12" i="50"/>
  <c r="C20" i="48"/>
  <c r="S12" i="50" l="1"/>
  <c r="E16" i="48"/>
  <c r="O17" i="30"/>
  <c r="O19" i="30" s="1"/>
  <c r="O24" i="30" s="1"/>
  <c r="B23" i="30"/>
  <c r="B22" i="30"/>
  <c r="B24" i="30"/>
  <c r="K18" i="30"/>
  <c r="I5" i="4"/>
  <c r="B14" i="50"/>
  <c r="J9" i="4"/>
  <c r="B25" i="4" s="1"/>
  <c r="H13" i="50" l="1"/>
  <c r="L18" i="30"/>
  <c r="E7" i="48"/>
  <c r="B26" i="4"/>
  <c r="B24" i="4"/>
  <c r="I20" i="4"/>
  <c r="E2" i="48"/>
  <c r="H12" i="50" l="1"/>
  <c r="C10" i="48"/>
  <c r="E19" i="48" s="1"/>
  <c r="B13" i="50"/>
  <c r="J20" i="4"/>
  <c r="E3" i="48"/>
  <c r="E5" i="48"/>
  <c r="E14" i="48" l="1"/>
  <c r="E10" i="48"/>
  <c r="B12" i="50"/>
  <c r="C18" i="48"/>
  <c r="E18" i="48" s="1"/>
  <c r="E4" i="48" l="1"/>
  <c r="E6" i="48"/>
  <c r="E8" i="48"/>
  <c r="F47" i="59"/>
  <c r="D15" i="59" s="1"/>
  <c r="E15" i="59" s="1"/>
  <c r="F30" i="59"/>
  <c r="D9" i="59" s="1"/>
  <c r="F38" i="59"/>
  <c r="E8" i="59" l="1"/>
  <c r="D20" i="59"/>
  <c r="H17" i="59"/>
  <c r="E9" i="59"/>
  <c r="H6" i="59" l="1"/>
  <c r="H7" i="59" s="1"/>
  <c r="E20" i="59"/>
  <c r="C9" i="48" l="1"/>
  <c r="L13" i="50"/>
  <c r="E9" i="48" l="1"/>
  <c r="E20" i="48"/>
  <c r="E12" i="48"/>
  <c r="E15" i="48"/>
  <c r="L12" i="50"/>
  <c r="X12" i="50" s="1"/>
  <c r="Z14" i="50"/>
  <c r="B62" i="6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tc={BB087AB8-B545-4CB6-92BD-79DFBECFB9D1}</author>
    <author>tc={032C542F-95FD-44D5-815E-F59A7A3BA23B}</author>
    <author>tc={D56D40DB-DA6C-4197-AE14-776C7DD22DA6}</author>
    <author>tc={A7E5841D-9633-41D3-8356-1A34D73840FD}</author>
    <author>tc={8E07311B-EC30-41EB-8CB9-63926279B5ED}</author>
    <author>tc={AEC13894-8F2D-417E-BD5B-002BF2D4120A}</author>
  </authors>
  <commentList>
    <comment ref="D13" authorId="0" shapeId="0" xr:uid="{BB087AB8-B545-4CB6-92BD-79DFBECFB9D1}">
      <text>
        <t>[Threaded comment]
Your version of Excel allows you to read this threaded comment; however, any edits to it will get removed if the file is opened in a newer version of Excel. Learn more: https://go.microsoft.com/fwlink/?linkid=870924
Comment:
    līguma summa</t>
      </text>
    </comment>
    <comment ref="D14" authorId="1" shapeId="0" xr:uid="{032C542F-95FD-44D5-815E-F59A7A3BA23B}">
      <text>
        <t>[Threaded comment]
Your version of Excel allows you to read this threaded comment; however, any edits to it will get removed if the file is opened in a newer version of Excel. Learn more: https://go.microsoft.com/fwlink/?linkid=870924
Comment:
    līguma summa</t>
      </text>
    </comment>
    <comment ref="D15" authorId="2" shapeId="0" xr:uid="{D56D40DB-DA6C-4197-AE14-776C7DD22DA6}">
      <text>
        <t>[Threaded comment]
Your version of Excel allows you to read this threaded comment; however, any edits to it will get removed if the file is opened in a newer version of Excel. Learn more: https://go.microsoft.com/fwlink/?linkid=870924
Comment:
    līguma summa</t>
      </text>
    </comment>
    <comment ref="D16" authorId="3" shapeId="0" xr:uid="{A7E5841D-9633-41D3-8356-1A34D73840FD}">
      <text>
        <t>[Threaded comment]
Your version of Excel allows you to read this threaded comment; however, any edits to it will get removed if the file is opened in a newer version of Excel. Learn more: https://go.microsoft.com/fwlink/?linkid=870924
Comment:
    līguma summa</t>
      </text>
    </comment>
    <comment ref="D17" authorId="4" shapeId="0" xr:uid="{8E07311B-EC30-41EB-8CB9-63926279B5ED}">
      <text>
        <t>[Threaded comment]
Your version of Excel allows you to read this threaded comment; however, any edits to it will get removed if the file is opened in a newer version of Excel. Learn more: https://go.microsoft.com/fwlink/?linkid=870924
Comment:
    līguma summa</t>
      </text>
    </comment>
    <comment ref="D18" authorId="5" shapeId="0" xr:uid="{AEC13894-8F2D-417E-BD5B-002BF2D4120A}">
      <text>
        <t>[Threaded comment]
Your version of Excel allows you to read this threaded comment; however, any edits to it will get removed if the file is opened in a newer version of Excel. Learn more: https://go.microsoft.com/fwlink/?linkid=870924
Comment:
    līguma summa</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tc={145C875F-28DC-41DF-AF62-0BB4CA82B95C}</author>
  </authors>
  <commentList>
    <comment ref="D13" authorId="0" shapeId="0" xr:uid="{145C875F-28DC-41DF-AF62-0BB4CA82B95C}">
      <text>
        <t>[Threaded comment]
Your version of Excel allows you to read this threaded comment; however, any edits to it will get removed if the file is opened in a newer version of Excel. Learn more: https://go.microsoft.com/fwlink/?linkid=870924
Comment:
    līguma summa!</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tc={8BE680BA-2E03-42E3-B2C0-9738FE23584B}</author>
  </authors>
  <commentList>
    <comment ref="K3" authorId="0" shapeId="0" xr:uid="{8BE680BA-2E03-42E3-B2C0-9738FE23584B}">
      <text>
        <t>[Threaded comment]
Your version of Excel allows you to read this threaded comment; however, any edits to it will get removed if the file is opened in a newer version of Excel. Learn more: https://go.microsoft.com/fwlink/?linkid=870924
Comment:
    netika ieturēts</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tc={88F74A0D-6F78-48A2-9274-3F8558D4F7F6}</author>
  </authors>
  <commentList>
    <comment ref="D13" authorId="0" shapeId="0" xr:uid="{88F74A0D-6F78-48A2-9274-3F8558D4F7F6}">
      <text>
        <t>[Threaded comment]
Your version of Excel allows you to read this threaded comment; however, any edits to it will get removed if the file is opened in a newer version of Excel. Learn more: https://go.microsoft.com/fwlink/?linkid=870924
Comment:
    līguma summa!</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tc={D88D809E-56C1-429A-A78B-5CE3B62EBF43}</author>
    <author>tc={C762DEDA-B730-4006-82FA-7FC2E86FE997}</author>
    <author>tc={63A04A66-E023-43D1-AB18-170A97C7184F}</author>
  </authors>
  <commentList>
    <comment ref="D12" authorId="0" shapeId="0" xr:uid="{D88D809E-56C1-429A-A78B-5CE3B62EBF43}">
      <text>
        <t>[Threaded comment]
Your version of Excel allows you to read this threaded comment; however, any edits to it will get removed if the file is opened in a newer version of Excel. Learn more: https://go.microsoft.com/fwlink/?linkid=870924
Comment:
    530 paraugu sūtīšana</t>
      </text>
    </comment>
    <comment ref="D17" authorId="1" shapeId="0" xr:uid="{C762DEDA-B730-4006-82FA-7FC2E86FE997}">
      <text>
        <t>[Threaded comment]
Your version of Excel allows you to read this threaded comment; however, any edits to it will get removed if the file is opened in a newer version of Excel. Learn more: https://go.microsoft.com/fwlink/?linkid=870924
Comment:
    līguma summa</t>
      </text>
    </comment>
    <comment ref="D24" authorId="2" shapeId="0" xr:uid="{63A04A66-E023-43D1-AB18-170A97C7184F}">
      <text>
        <t xml:space="preserve">[Threaded comment]
Your version of Excel allows you to read this threaded comment; however, any edits to it will get removed if the file is opened in a newer version of Excel. Learn more: https://go.microsoft.com/fwlink/?linkid=870924
Comment:
    jūlijs
</t>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tc={E6EF396C-6080-476F-937D-6271CCF29126}</author>
  </authors>
  <commentList>
    <comment ref="D13" authorId="0" shapeId="0" xr:uid="{E6EF396C-6080-476F-937D-6271CCF29126}">
      <text>
        <t>[Threaded comment]
Your version of Excel allows you to read this threaded comment; however, any edits to it will get removed if the file is opened in a newer version of Excel. Learn more: https://go.microsoft.com/fwlink/?linkid=870924
Comment:
    līguma summa!</t>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tc={00575DEF-9572-4631-8420-BB375FE0C79F}</author>
  </authors>
  <commentList>
    <comment ref="D13" authorId="0" shapeId="0" xr:uid="{00575DEF-9572-4631-8420-BB375FE0C79F}">
      <text>
        <t>[Threaded comment]
Your version of Excel allows you to read this threaded comment; however, any edits to it will get removed if the file is opened in a newer version of Excel. Learn more: https://go.microsoft.com/fwlink/?linkid=870924
Comment:
    līguma summa!</t>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tc={EEE402DF-566B-4BC0-AD92-DE8945DEBE3D}</author>
  </authors>
  <commentList>
    <comment ref="D14" authorId="0" shapeId="0" xr:uid="{EEE402DF-566B-4BC0-AD92-DE8945DEBE3D}">
      <text>
        <t>[Threaded comment]
Your version of Excel allows you to read this threaded comment; however, any edits to it will get removed if the file is opened in a newer version of Excel. Learn more: https://go.microsoft.com/fwlink/?linkid=870924
Comment:
    līguma summa!</t>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tc={45258B27-0226-4558-9DC1-0E1EDD391696}</author>
  </authors>
  <commentList>
    <comment ref="D14" authorId="0" shapeId="0" xr:uid="{45258B27-0226-4558-9DC1-0E1EDD391696}">
      <text>
        <t>[Threaded comment]
Your version of Excel allows you to read this threaded comment; however, any edits to it will get removed if the file is opened in a newer version of Excel. Learn more: https://go.microsoft.com/fwlink/?linkid=870924
Comment:
    līguma summa!</t>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tc={187EB6B1-14CC-4822-9689-B2AEC2AFAD66}</author>
    <author>tc={1A0CFB5F-CC34-4F5B-8A17-EDECEBC28C31}</author>
  </authors>
  <commentList>
    <comment ref="D12" authorId="0" shapeId="0" xr:uid="{187EB6B1-14CC-4822-9689-B2AEC2AFAD66}">
      <text>
        <t>[Threaded comment]
Your version of Excel allows you to read this threaded comment; however, any edits to it will get removed if the file is opened in a newer version of Excel. Learn more: https://go.microsoft.com/fwlink/?linkid=870924
Comment:
    līguma summa!</t>
      </text>
    </comment>
    <comment ref="D13" authorId="1" shapeId="0" xr:uid="{1A0CFB5F-CC34-4F5B-8A17-EDECEBC28C31}">
      <text>
        <t>[Threaded comment]
Your version of Excel allows you to read this threaded comment; however, any edits to it will get removed if the file is opened in a newer version of Excel. Learn more: https://go.microsoft.com/fwlink/?linkid=870924
Comment:
    līguma summa</t>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tc={22ADF53D-8B2A-4A3C-A797-E4DE83FE02A2}</author>
  </authors>
  <commentList>
    <comment ref="C42" authorId="0" shapeId="0" xr:uid="{22ADF53D-8B2A-4A3C-A797-E4DE83FE02A2}">
      <text>
        <t>[Threaded comment]
Your version of Excel allows you to read this threaded comment; however, any edits to it will get removed if the file is opened in a newer version of Excel. Learn more: https://go.microsoft.com/fwlink/?linkid=870924
Comment:
    Alena trūkstošie čeki</t>
      </text>
    </comment>
  </commentList>
</comments>
</file>

<file path=xl/sharedStrings.xml><?xml version="1.0" encoding="utf-8"?>
<sst xmlns="http://schemas.openxmlformats.org/spreadsheetml/2006/main" count="1453" uniqueCount="340">
  <si>
    <t>contract amount</t>
  </si>
  <si>
    <t>additional works</t>
  </si>
  <si>
    <t xml:space="preserve">total income </t>
  </si>
  <si>
    <t>project manager</t>
  </si>
  <si>
    <t>Kaspars</t>
  </si>
  <si>
    <t>Alens</t>
  </si>
  <si>
    <t>Alens, Māris</t>
  </si>
  <si>
    <t>Kristaps</t>
  </si>
  <si>
    <t>Māris, Valters</t>
  </si>
  <si>
    <t>planned hours</t>
  </si>
  <si>
    <t>worked hours</t>
  </si>
  <si>
    <t>stundu bilance</t>
  </si>
  <si>
    <t>profit %</t>
  </si>
  <si>
    <t>profit EUR</t>
  </si>
  <si>
    <t>administrative costs 7%</t>
  </si>
  <si>
    <t>Object</t>
  </si>
  <si>
    <t xml:space="preserve">object total </t>
  </si>
  <si>
    <t>Profit (%)</t>
  </si>
  <si>
    <t>Project manager</t>
  </si>
  <si>
    <t>Alens, Valters</t>
  </si>
  <si>
    <t>Māris, Valters, Alens</t>
  </si>
  <si>
    <t>MIL</t>
  </si>
  <si>
    <t>UGG MILANO SAN BABILA, Piazza San Babila 5, 20122 Milano</t>
  </si>
  <si>
    <t>19/11/2025-9/03/2026</t>
  </si>
  <si>
    <t>Payment conditions, Clause 5.2.</t>
  </si>
  <si>
    <t>upon signing the contract</t>
  </si>
  <si>
    <t>15 days</t>
  </si>
  <si>
    <t>Sales (m2):</t>
  </si>
  <si>
    <t>Contract amount EUR</t>
  </si>
  <si>
    <t>upon beginning of the construction site</t>
  </si>
  <si>
    <t>30 days</t>
  </si>
  <si>
    <t>BOH (m2):</t>
  </si>
  <si>
    <t>Additional works, EUR</t>
  </si>
  <si>
    <t>upon delivery of furniture/ fittings</t>
  </si>
  <si>
    <t>TOTAL (m2)</t>
  </si>
  <si>
    <t>Administrative costs (7% from income)</t>
  </si>
  <si>
    <t>upon completion of teh work and final delivery, subject to verification and closure of the list of defects</t>
  </si>
  <si>
    <t>Position</t>
  </si>
  <si>
    <t>Planned costs</t>
  </si>
  <si>
    <t>Actual costs</t>
  </si>
  <si>
    <t>PROFIT</t>
  </si>
  <si>
    <t>Profit</t>
  </si>
  <si>
    <t>SALARY</t>
  </si>
  <si>
    <t>MATERIALS</t>
  </si>
  <si>
    <t>Contract for Works and Services in relation to the Project UGG MILANO SAN BABILA</t>
  </si>
  <si>
    <t>HOTEL</t>
  </si>
  <si>
    <t>hours costs planned</t>
  </si>
  <si>
    <t>GASOLINE</t>
  </si>
  <si>
    <t>hours per m2 planned</t>
  </si>
  <si>
    <t>AVIO+TRAVEL</t>
  </si>
  <si>
    <t>m2 costs planned</t>
  </si>
  <si>
    <t>SUB: reklāmas baneris Prima Visione</t>
  </si>
  <si>
    <t>SUB: "SIRTEC" epoxy floor</t>
  </si>
  <si>
    <t>SUB: CONSTRUCTION "Tarqiunio"</t>
  </si>
  <si>
    <t>SUB: ELECTRICITY "Tarqiunio"</t>
  </si>
  <si>
    <t>hours cost in fact</t>
  </si>
  <si>
    <t>SUB: DEMOLITION "Tarqiunio"</t>
  </si>
  <si>
    <t>hours per m2 in fact</t>
  </si>
  <si>
    <t>SUB: PLUMBING"Tarqiunio"</t>
  </si>
  <si>
    <t xml:space="preserve">m2 costs in fact </t>
  </si>
  <si>
    <t>SUB: AIR CONDITION"Tarqiunio"</t>
  </si>
  <si>
    <t>Insurance, Ziedonis</t>
  </si>
  <si>
    <t>hours costs, incl. travel and living</t>
  </si>
  <si>
    <t>PM travel costs</t>
  </si>
  <si>
    <t>living costs per person per day</t>
  </si>
  <si>
    <t>ADD 1- smoke detectors</t>
  </si>
  <si>
    <t>TOTAL</t>
  </si>
  <si>
    <t>Hours workers</t>
  </si>
  <si>
    <t>Hours SM/PM</t>
  </si>
  <si>
    <t>ADD HOURS</t>
  </si>
  <si>
    <t>Avansi</t>
  </si>
  <si>
    <t>Ripo IT</t>
  </si>
  <si>
    <t>Stēģi, durvis</t>
  </si>
  <si>
    <t>Sirtex/Resimix</t>
  </si>
  <si>
    <t>PAN3</t>
  </si>
  <si>
    <t>Pandora SC Rocca al Mare Mall Paldiski mnt 102, 13522 Tallinn, Estonia</t>
  </si>
  <si>
    <t>30/09/2025-18/10/2025</t>
  </si>
  <si>
    <t>avanss, 10 dienas</t>
  </si>
  <si>
    <t>pēc pabeigšanas, 30 dienas</t>
  </si>
  <si>
    <t>pēc garantijas perioda beigām, 30 dienas</t>
  </si>
  <si>
    <t>TRANSPORT COSTS</t>
  </si>
  <si>
    <t>SUB: ELECTRICITY "ELEKTROLAT"</t>
  </si>
  <si>
    <t>SUB: EL MESS PROT</t>
  </si>
  <si>
    <t>WASTE</t>
  </si>
  <si>
    <t>MECHANISMS</t>
  </si>
  <si>
    <t>ADD 1</t>
  </si>
  <si>
    <t>ADD 2</t>
  </si>
  <si>
    <t>ADD 3</t>
  </si>
  <si>
    <t>ADD 4</t>
  </si>
  <si>
    <t>ADD 5</t>
  </si>
  <si>
    <t>DRE</t>
  </si>
  <si>
    <t>Intimissimi and Calzedonia Prager Str. 8, 01069 Dresden, Germany</t>
  </si>
  <si>
    <t>7.10.2025- 7.11.2025</t>
  </si>
  <si>
    <t>avanss</t>
  </si>
  <si>
    <t>2.maksājums</t>
  </si>
  <si>
    <t>gala rēķins</t>
  </si>
  <si>
    <t>CAL</t>
  </si>
  <si>
    <t>INT</t>
  </si>
  <si>
    <t>15 dienas</t>
  </si>
  <si>
    <t>21/10/2025 izrakstīt, 30 dienas</t>
  </si>
  <si>
    <t>7/11/2025 izrakstīt, 30 dienas</t>
  </si>
  <si>
    <t>3.2.1</t>
  </si>
  <si>
    <t>3.2.2.</t>
  </si>
  <si>
    <t>3.2.3.</t>
  </si>
  <si>
    <t>SUB: ELECTRICITY</t>
  </si>
  <si>
    <t>LUSH</t>
  </si>
  <si>
    <t>Lush store refurmishment, list with addresses</t>
  </si>
  <si>
    <t>time plan</t>
  </si>
  <si>
    <t>shops nr</t>
  </si>
  <si>
    <t>45% avanss 14 dienās</t>
  </si>
  <si>
    <t>45% pēc darbu pabeigšanas 14 dienās</t>
  </si>
  <si>
    <t>10% pēc defektu novēršanas 14 dienās</t>
  </si>
  <si>
    <t>HOK</t>
  </si>
  <si>
    <t>Neue Schönhauser Str. 9, 10178 Berlin, Germany</t>
  </si>
  <si>
    <t>26/08/2025-07/11/2025</t>
  </si>
  <si>
    <t>maksājumi</t>
  </si>
  <si>
    <t>pēc līguma parakstīšanas</t>
  </si>
  <si>
    <t>pēc darbu pabeigšanas</t>
  </si>
  <si>
    <t>pēc garantijas perioda -5 gadi!</t>
  </si>
  <si>
    <t>The security deposit according to Sec. 6.2 and 6.3 will be paid out in return of an unlimited, directly enforceable, unconditional and irrevocable guarantee by a major EU insurance domiciled and with service address in the European Union in the retained amount. The guarantee may not include a deposit clause, must be governed by German law and stipulate the location of the construction project as place of court jurisdiction. The guarantee deed must state clearly that claims based on the guarantee will in no case become time-barred before 
the claims that the guarantee covers. The security (deposit or bank guarantee) will be returned to the Contractor as soon as and to the extent no more secured claims exist.</t>
  </si>
  <si>
    <t>TRAVEL COSTS PM</t>
  </si>
  <si>
    <t>SUB: HVAC ekosilti</t>
  </si>
  <si>
    <t>SUB: ALARM vorsiher</t>
  </si>
  <si>
    <t>SUB: ELECTRICITY elektrolat</t>
  </si>
  <si>
    <t>ADD 6</t>
  </si>
  <si>
    <t>ADD 7</t>
  </si>
  <si>
    <t>ADD 8</t>
  </si>
  <si>
    <t>ADD 9</t>
  </si>
  <si>
    <t>Hoka Kudamm</t>
  </si>
  <si>
    <t>Systemair, avanss</t>
  </si>
  <si>
    <t>Optimera</t>
  </si>
  <si>
    <t>Viesnīca</t>
  </si>
  <si>
    <t>algas</t>
  </si>
  <si>
    <t>depo</t>
  </si>
  <si>
    <t>wurth</t>
  </si>
  <si>
    <t>parking</t>
  </si>
  <si>
    <t>Shop Maintenance GMBH</t>
  </si>
  <si>
    <t>adm 7%</t>
  </si>
  <si>
    <t>degviela</t>
  </si>
  <si>
    <t>janvāra brauciens</t>
  </si>
  <si>
    <t>TES</t>
  </si>
  <si>
    <t xml:space="preserve"> TESLA_AU_VIENNA extra works</t>
  </si>
  <si>
    <t>11/07/2025-20/07/2025</t>
  </si>
  <si>
    <t>FAL2</t>
  </si>
  <si>
    <t>Falconeri Insbruck Maria-Theresien-Straße 38, 6020 Innsbruck, Austria</t>
  </si>
  <si>
    <t>29/08/2025-26/09/2025</t>
  </si>
  <si>
    <t>estimated</t>
  </si>
  <si>
    <t>SUB: HVAC Kaltepol</t>
  </si>
  <si>
    <t>UGG</t>
  </si>
  <si>
    <t xml:space="preserve">Neue Schönhauser Str. 3, 10178 Berlin, Germany </t>
  </si>
  <si>
    <t>11/07/2025-09/09/2025</t>
  </si>
  <si>
    <t>AVIO+TRAVEL COSTS</t>
  </si>
  <si>
    <t>SUB: VENTILATION</t>
  </si>
  <si>
    <t>SUB: HVAC</t>
  </si>
  <si>
    <t>SUB: SECURITY Vorsicher</t>
  </si>
  <si>
    <t>SUB: FIRE ALARM</t>
  </si>
  <si>
    <t>PAN2</t>
  </si>
  <si>
    <t>PANDORA, ULLEMISTE, TALLINN</t>
  </si>
  <si>
    <t>31/07/2025-31/08/2025</t>
  </si>
  <si>
    <t>pēc gada</t>
  </si>
  <si>
    <t>Internal cleaning</t>
  </si>
  <si>
    <t>SUB: SECURITY</t>
  </si>
  <si>
    <t>KAR</t>
  </si>
  <si>
    <t>Intimissimi Uomo Kartnerstrasse 37, Wienna, Austria</t>
  </si>
  <si>
    <t>04/08/2025-28/08/2025</t>
  </si>
  <si>
    <t>Zaudējumi</t>
  </si>
  <si>
    <t>+ Additional (actual costs)</t>
  </si>
  <si>
    <t xml:space="preserve">Avansi </t>
  </si>
  <si>
    <t>LIN</t>
  </si>
  <si>
    <t>Intimissimi  SC Pluscity, Pluskaufstrasse 1, OVE, 4061 Linz, Austria</t>
  </si>
  <si>
    <t>22.07.2025-18.08.2025</t>
  </si>
  <si>
    <t>TRI</t>
  </si>
  <si>
    <t>Calzedonia Simeonstraße 38, 54290 Trier, Germany</t>
  </si>
  <si>
    <t>18.06.2025-11.07.2025</t>
  </si>
  <si>
    <t>FAL</t>
  </si>
  <si>
    <t>Falconeri Sture Galerian, Stokholma</t>
  </si>
  <si>
    <t>04/06/2025-19/06/25</t>
  </si>
  <si>
    <t xml:space="preserve">ADD 3 </t>
  </si>
  <si>
    <t>Buildup</t>
  </si>
  <si>
    <t>living</t>
  </si>
  <si>
    <t>Easy Flat</t>
  </si>
  <si>
    <t>materials</t>
  </si>
  <si>
    <t>waste</t>
  </si>
  <si>
    <t>BigBag</t>
  </si>
  <si>
    <t>STU2</t>
  </si>
  <si>
    <t>Calzedonia Sture Galerian, Stokholma</t>
  </si>
  <si>
    <t>27/5/2025-9/6/2025</t>
  </si>
  <si>
    <t>PARKING</t>
  </si>
  <si>
    <t>SUB: BASU</t>
  </si>
  <si>
    <t>subcontractor</t>
  </si>
  <si>
    <t>Stromfeldt</t>
  </si>
  <si>
    <t>STU</t>
  </si>
  <si>
    <t>Intimissimi Sture Galerian, Stokholma</t>
  </si>
  <si>
    <t>18/05/2025-25/05/2025</t>
  </si>
  <si>
    <t>mechanisms</t>
  </si>
  <si>
    <t>Cramo</t>
  </si>
  <si>
    <t>SWA</t>
  </si>
  <si>
    <t>Swarovski store in shopping center Mall of Scandinavia  Stjärntorget 2, 169 79 Solna, Sweden</t>
  </si>
  <si>
    <t>1/4/2025-30/4/2025, 6/5/2025-15/5/2025</t>
  </si>
  <si>
    <t>Payment conditions</t>
  </si>
  <si>
    <t>10d</t>
  </si>
  <si>
    <t>30 d</t>
  </si>
  <si>
    <t>HOTEL (4 eur/h)</t>
  </si>
  <si>
    <t>GASOLINE+DRIVER</t>
  </si>
  <si>
    <t>AVIO+TRAVEL (1 eur/h)</t>
  </si>
  <si>
    <t>SUB: KWIKWORKS</t>
  </si>
  <si>
    <t>SUB: SPRINKLERS</t>
  </si>
  <si>
    <t>Project manager travels</t>
  </si>
  <si>
    <t>SEK</t>
  </si>
  <si>
    <t>EUR</t>
  </si>
  <si>
    <t xml:space="preserve">Bevego </t>
  </si>
  <si>
    <t>Wurth</t>
  </si>
  <si>
    <t>Flinks</t>
  </si>
  <si>
    <t>Urban services</t>
  </si>
  <si>
    <t>Kranpunkten</t>
  </si>
  <si>
    <t>Fortnox</t>
  </si>
  <si>
    <t>Artel AB</t>
  </si>
  <si>
    <t>Add works 2</t>
  </si>
  <si>
    <t xml:space="preserve">A-Sprinkler AB </t>
  </si>
  <si>
    <t xml:space="preserve"> Säkerhetsbolaget FST AB</t>
  </si>
  <si>
    <t>Elteknikbolaget i Stockholm AB</t>
  </si>
  <si>
    <t>Avarn</t>
  </si>
  <si>
    <t>FRO</t>
  </si>
  <si>
    <t>Calzedonia  and Intimissimi, Frölunda torg, 421 42 Västra Frölunda, Sweden  25/03/2025-31/03/2025</t>
  </si>
  <si>
    <t>Object costs</t>
  </si>
  <si>
    <t>Marts</t>
  </si>
  <si>
    <t>Aprīlis</t>
  </si>
  <si>
    <t>Total</t>
  </si>
  <si>
    <t xml:space="preserve">General data </t>
  </si>
  <si>
    <t>Objekta ieņēmumi kopā</t>
  </si>
  <si>
    <t>Budget total</t>
  </si>
  <si>
    <t>25/03-31/03</t>
  </si>
  <si>
    <t>26/02-03/03</t>
  </si>
  <si>
    <t>total</t>
  </si>
  <si>
    <t>Objekta tiešie izdevumi</t>
  </si>
  <si>
    <t>Direct costs</t>
  </si>
  <si>
    <t>mtr. un aprīkojuma iegāde</t>
  </si>
  <si>
    <t>materials and equipment</t>
  </si>
  <si>
    <t>square m2</t>
  </si>
  <si>
    <t>mtr. piegādes izdevumi</t>
  </si>
  <si>
    <t xml:space="preserve">delivery </t>
  </si>
  <si>
    <t xml:space="preserve">object square </t>
  </si>
  <si>
    <t>hours  optimal/ m2</t>
  </si>
  <si>
    <t>apakšuzņēmēji</t>
  </si>
  <si>
    <t>subcontractors</t>
  </si>
  <si>
    <t>m2&lt;50</t>
  </si>
  <si>
    <t>darba algas</t>
  </si>
  <si>
    <t>salaries</t>
  </si>
  <si>
    <t>50&lt;m2&lt;100</t>
  </si>
  <si>
    <t>DD VSAOI</t>
  </si>
  <si>
    <t>tax for salaries</t>
  </si>
  <si>
    <t>uzkrājums atvaļinājumam</t>
  </si>
  <si>
    <t>vacation allowance</t>
  </si>
  <si>
    <t>materials and equipment costs</t>
  </si>
  <si>
    <t>administratīvie izdevumi 7%</t>
  </si>
  <si>
    <t>planned</t>
  </si>
  <si>
    <t>kom. dienas naudas</t>
  </si>
  <si>
    <t>travel allowance</t>
  </si>
  <si>
    <t>in fact</t>
  </si>
  <si>
    <t>kom. izdevumi- naktsmītne</t>
  </si>
  <si>
    <t>travel expenses (hotels)</t>
  </si>
  <si>
    <t>kom. izdevumi- ceļš</t>
  </si>
  <si>
    <t>travel expenses ( tickets, road costs)</t>
  </si>
  <si>
    <t>Salaries and taxes</t>
  </si>
  <si>
    <t>komandējuma izdevumi (administrācija)</t>
  </si>
  <si>
    <t>travel expenses (administration)</t>
  </si>
  <si>
    <t>citi izdevumi</t>
  </si>
  <si>
    <t>other expenses</t>
  </si>
  <si>
    <t>peļņa bruto</t>
  </si>
  <si>
    <t>profit/ loss</t>
  </si>
  <si>
    <t>plānotā peļņa</t>
  </si>
  <si>
    <t>planned profit</t>
  </si>
  <si>
    <t>travel and living costs</t>
  </si>
  <si>
    <t>20/03-26/03</t>
  </si>
  <si>
    <t>27/03-02/04</t>
  </si>
  <si>
    <t>03/04-09/04</t>
  </si>
  <si>
    <t>10/04-12/04</t>
  </si>
  <si>
    <t>23/04-30/04</t>
  </si>
  <si>
    <t>01/05-04/05</t>
  </si>
  <si>
    <t xml:space="preserve">Direct costs </t>
  </si>
  <si>
    <t>actual costs</t>
  </si>
  <si>
    <t>planned costs</t>
  </si>
  <si>
    <t>hours per m2</t>
  </si>
  <si>
    <t>Materials, incl.delivery, and subcontractors</t>
  </si>
  <si>
    <t xml:space="preserve">Other costs </t>
  </si>
  <si>
    <t>m2 costs</t>
  </si>
  <si>
    <t>living costs per worked hour</t>
  </si>
  <si>
    <t>Subcontractors budget, EUR</t>
  </si>
  <si>
    <t>Payments to subcontractor, EUR</t>
  </si>
  <si>
    <t>date of report</t>
  </si>
  <si>
    <t>tāmes summa SEK</t>
  </si>
  <si>
    <t>kurss 19.03.2025</t>
  </si>
  <si>
    <t>tāmes summa EUR</t>
  </si>
  <si>
    <t>Alena trūkstošie čeki</t>
  </si>
  <si>
    <t>Buildup, Ragn Sells</t>
  </si>
  <si>
    <t>sek</t>
  </si>
  <si>
    <t>eur</t>
  </si>
  <si>
    <t>LULU</t>
  </si>
  <si>
    <t>garantijas darbi februārī, kondicioniera uzstādīšana jūnijā</t>
  </si>
  <si>
    <t>Februāris</t>
  </si>
  <si>
    <t>Jūnijs/ jūlijs</t>
  </si>
  <si>
    <t>11/2-14/2</t>
  </si>
  <si>
    <t>materiālu un aprīkojuma iegāde</t>
  </si>
  <si>
    <t>materiālu piegādes izdevumi</t>
  </si>
  <si>
    <t>komandējuma dienas naudas</t>
  </si>
  <si>
    <t>komandējuma izdevumi- naktsmītne</t>
  </si>
  <si>
    <t>komandējuma izdevumi- ceļš</t>
  </si>
  <si>
    <t>=</t>
  </si>
  <si>
    <t>Bevego</t>
  </si>
  <si>
    <t>Vent assistants</t>
  </si>
  <si>
    <t>PRB Injustering</t>
  </si>
  <si>
    <t>INS</t>
  </si>
  <si>
    <t>Intimissimi Insbruck Rathaus Galerian, Austria, 3/3/2025-19/3/2025</t>
  </si>
  <si>
    <t>3/3-9/3</t>
  </si>
  <si>
    <t>10/3-16/3</t>
  </si>
  <si>
    <t>BUAK</t>
  </si>
  <si>
    <t xml:space="preserve">actual costs </t>
  </si>
  <si>
    <t xml:space="preserve">planned costs </t>
  </si>
  <si>
    <t xml:space="preserve">avanss </t>
  </si>
  <si>
    <t>AKR</t>
  </si>
  <si>
    <t>Calzedonia un Intimissimi Akropole, Latgales iela 257, 03/02/2025-</t>
  </si>
  <si>
    <t>Object address</t>
  </si>
  <si>
    <t>Time shedule, weeks</t>
  </si>
  <si>
    <t>avansi</t>
  </si>
  <si>
    <t>PAN</t>
  </si>
  <si>
    <t>PANDORA SC Viru Keskus, Viru väljak 4-6, 10111 Tallinn, Estonia, 10/3/2025-31/3/2025</t>
  </si>
  <si>
    <t xml:space="preserve">Marts </t>
  </si>
  <si>
    <t>10/03-16/03</t>
  </si>
  <si>
    <t>17/03-23/03</t>
  </si>
  <si>
    <t>24/03-31/03</t>
  </si>
  <si>
    <t>pārtēriņš</t>
  </si>
  <si>
    <t xml:space="preserve">bez Kaspara K. </t>
  </si>
  <si>
    <t>komandējuma izdevumi- administrācija</t>
  </si>
  <si>
    <t>COL</t>
  </si>
  <si>
    <t>Intimissimi KÖLN SC RHEIN CENTER, 10/02/2025-27/02/2025</t>
  </si>
  <si>
    <t>10/2-16/2</t>
  </si>
  <si>
    <t>17/2-23/2</t>
  </si>
  <si>
    <t>24/2-27/2</t>
  </si>
  <si>
    <t>SOKA BAU</t>
  </si>
  <si>
    <t>INNSBRUCK UOMO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</si>
</sst>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
  </numFmts>
  <fonts count="41">
    <font>
      <sz val="11"/>
      <color theme="1"/>
      <name val="Calibri"/>
      <family val="2"/>
      <scheme val="minor"/>
    </font>
    <font>
      <sz val="11"/>
      <color theme="1"/>
      <name val="Calibri"/>
      <family val="2"/>
      <charset val="186"/>
      <scheme val="minor"/>
    </font>
    <font>
      <b/>
      <sz val="11"/>
      <color theme="1"/>
      <name val="Calibri"/>
      <family val="2"/>
      <charset val="186"/>
      <scheme val="minor"/>
    </font>
    <font>
      <sz val="11"/>
      <color indexed="8"/>
      <name val="Calibri"/>
      <family val="2"/>
      <charset val="1"/>
    </font>
    <font>
      <sz val="14"/>
      <color theme="1"/>
      <name val="Calibri"/>
      <family val="2"/>
      <scheme val="minor"/>
    </font>
    <font>
      <b/>
      <sz val="11"/>
      <color rgb="FF000000"/>
      <name val="Calibri"/>
      <family val="2"/>
      <charset val="186"/>
      <scheme val="minor"/>
    </font>
    <font>
      <b/>
      <sz val="11"/>
      <color theme="1"/>
      <name val="Calibri"/>
      <family val="2"/>
      <scheme val="minor"/>
    </font>
    <font>
      <b/>
      <sz val="11"/>
      <color rgb="FF000000"/>
      <name val="Calibri"/>
      <family val="2"/>
      <scheme val="minor"/>
    </font>
    <font>
      <b/>
      <sz val="14"/>
      <color theme="1"/>
      <name val="Calibri"/>
      <family val="2"/>
      <charset val="186"/>
      <scheme val="minor"/>
    </font>
    <font>
      <b/>
      <sz val="14"/>
      <color theme="1"/>
      <name val="Calibri"/>
      <family val="2"/>
      <scheme val="minor"/>
    </font>
    <font>
      <sz val="9"/>
      <color theme="1"/>
      <name val="Calibri"/>
      <family val="2"/>
      <charset val="186"/>
      <scheme val="minor"/>
    </font>
    <font>
      <sz val="10"/>
      <color theme="1"/>
      <name val="Calibri"/>
      <family val="2"/>
      <charset val="186"/>
      <scheme val="minor"/>
    </font>
    <font>
      <sz val="11"/>
      <color rgb="FF000000"/>
      <name val="Calibri"/>
      <family val="2"/>
      <charset val="186"/>
      <scheme val="minor"/>
    </font>
    <font>
      <b/>
      <sz val="11"/>
      <color rgb="FFFF0000"/>
      <name val="Calibri"/>
      <family val="2"/>
      <scheme val="minor"/>
    </font>
    <font>
      <sz val="10"/>
      <color theme="1"/>
      <name val="Calibri"/>
      <family val="2"/>
      <scheme val="minor"/>
    </font>
    <font>
      <sz val="10"/>
      <color indexed="8"/>
      <name val="Calibri"/>
      <family val="2"/>
    </font>
    <font>
      <sz val="20"/>
      <color theme="1"/>
      <name val="Calibri"/>
      <family val="2"/>
      <scheme val="minor"/>
    </font>
    <font>
      <sz val="11"/>
      <color rgb="FFFF0000"/>
      <name val="Calibri"/>
      <family val="2"/>
      <scheme val="minor"/>
    </font>
    <font>
      <sz val="11"/>
      <color rgb="FF000000"/>
      <name val="Calibri"/>
      <family val="2"/>
      <scheme val="minor"/>
    </font>
    <font>
      <sz val="9"/>
      <color theme="1"/>
      <name val="Calibri"/>
      <family val="2"/>
      <scheme val="minor"/>
    </font>
    <font>
      <sz val="8"/>
      <color theme="1"/>
      <name val="Calibri"/>
      <family val="2"/>
      <charset val="186"/>
      <scheme val="minor"/>
    </font>
    <font>
      <sz val="10"/>
      <color rgb="FFFF0000"/>
      <name val="Calibri"/>
      <family val="2"/>
      <scheme val="minor"/>
    </font>
    <font>
      <sz val="10"/>
      <name val="Arial"/>
      <family val="2"/>
      <charset val="186"/>
    </font>
    <font>
      <sz val="20"/>
      <color rgb="FF444444"/>
      <name val="Calibri"/>
      <family val="2"/>
      <charset val="1"/>
    </font>
    <font>
      <sz val="11"/>
      <color indexed="8"/>
      <name val="Calibri"/>
      <charset val="1"/>
    </font>
    <font>
      <u/>
      <sz val="11"/>
      <color theme="10"/>
      <name val="Calibri"/>
      <family val="2"/>
      <scheme val="minor"/>
    </font>
    <font>
      <sz val="16"/>
      <color theme="1"/>
      <name val="Calibri"/>
      <family val="2"/>
      <scheme val="minor"/>
    </font>
    <font>
      <b/>
      <sz val="10"/>
      <color theme="1"/>
      <name val="Calibri"/>
      <family val="2"/>
      <scheme val="minor"/>
    </font>
    <font>
      <b/>
      <sz val="10"/>
      <color rgb="FF000000"/>
      <name val="Calibri"/>
      <family val="2"/>
      <scheme val="minor"/>
    </font>
    <font>
      <sz val="10"/>
      <color rgb="FF000000"/>
      <name val="Calibri"/>
      <family val="2"/>
      <scheme val="minor"/>
    </font>
    <font>
      <b/>
      <sz val="12"/>
      <color rgb="FF000000"/>
      <name val="Bookman Old Style"/>
      <family val="1"/>
      <charset val="1"/>
    </font>
    <font>
      <sz val="12"/>
      <color theme="1"/>
      <name val="Calibri"/>
      <family val="2"/>
      <scheme val="minor"/>
    </font>
    <font>
      <sz val="14"/>
      <color rgb="FF444444"/>
      <name val="Calibri"/>
      <family val="2"/>
      <charset val="1"/>
    </font>
    <font>
      <sz val="11"/>
      <color theme="0"/>
      <name val="Calibri"/>
      <family val="2"/>
      <scheme val="minor"/>
    </font>
    <font>
      <b/>
      <sz val="16"/>
      <color theme="1"/>
      <name val="Calibri"/>
      <family val="2"/>
      <scheme val="minor"/>
    </font>
    <font>
      <b/>
      <sz val="11"/>
      <color theme="4" tint="-0.249977111117893"/>
      <name val="Calibri"/>
      <family val="2"/>
      <charset val="186"/>
      <scheme val="minor"/>
    </font>
    <font>
      <sz val="8"/>
      <color rgb="FF444444"/>
      <name val="Calibri"/>
      <family val="2"/>
      <charset val="1"/>
    </font>
    <font>
      <sz val="8"/>
      <color theme="1"/>
      <name val="Calibri"/>
      <family val="2"/>
      <scheme val="minor"/>
    </font>
    <font>
      <sz val="9"/>
      <color rgb="FF444444"/>
      <name val="Calibri"/>
      <family val="2"/>
      <charset val="1"/>
    </font>
    <font>
      <b/>
      <sz val="9"/>
      <color theme="1"/>
      <name val="Calibri"/>
      <family val="2"/>
      <scheme val="minor"/>
    </font>
    <font>
      <sz val="8"/>
      <color rgb="FFFF0000"/>
      <name val="Calibri"/>
      <family val="2"/>
      <scheme val="minor"/>
    </font>
  </fonts>
  <fills count="20">
    <fill>
      <patternFill patternType="none"/>
    </fill>
    <fill>
      <patternFill patternType="gray125"/>
    </fill>
    <fill>
      <patternFill patternType="solid">
        <fgColor rgb="FF92D050"/>
        <bgColor indexed="64"/>
      </patternFill>
    </fill>
    <fill>
      <patternFill patternType="solid">
        <fgColor theme="0"/>
        <bgColor indexed="64"/>
      </patternFill>
    </fill>
    <fill>
      <patternFill patternType="solid">
        <fgColor theme="5" tint="0.39997558519241921"/>
        <bgColor indexed="64"/>
      </patternFill>
    </fill>
    <fill>
      <patternFill patternType="solid">
        <fgColor rgb="FF00B0F0"/>
        <bgColor indexed="64"/>
      </patternFill>
    </fill>
    <fill>
      <patternFill patternType="solid">
        <fgColor rgb="FFFFFFFF"/>
        <bgColor indexed="64"/>
      </patternFill>
    </fill>
    <fill>
      <patternFill patternType="solid">
        <fgColor rgb="FF9BC2E6"/>
        <bgColor indexed="64"/>
      </patternFill>
    </fill>
    <fill>
      <patternFill patternType="solid">
        <fgColor rgb="FFA9D08E"/>
        <bgColor indexed="64"/>
      </patternFill>
    </fill>
    <fill>
      <patternFill patternType="solid">
        <fgColor rgb="FFF4B084"/>
        <bgColor indexed="64"/>
      </patternFill>
    </fill>
    <fill>
      <patternFill patternType="solid">
        <fgColor rgb="FFFFFF00"/>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0" tint="-0.14999847407452621"/>
        <bgColor indexed="64"/>
      </patternFill>
    </fill>
  </fills>
  <borders count="103">
    <border>
      <left/>
      <right/>
      <top/>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indexed="64"/>
      </top>
      <bottom style="thin">
        <color indexed="64"/>
      </bottom>
      <diagonal/>
    </border>
    <border>
      <left/>
      <right/>
      <top style="thin">
        <color rgb="FF000000"/>
      </top>
      <bottom style="thin">
        <color indexed="64"/>
      </bottom>
      <diagonal/>
    </border>
    <border>
      <left/>
      <right/>
      <top style="thin">
        <color indexed="64"/>
      </top>
      <bottom style="thin">
        <color rgb="FF000000"/>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bottom/>
      <diagonal/>
    </border>
    <border>
      <left style="thin">
        <color rgb="FF000000"/>
      </left>
      <right style="thin">
        <color rgb="FF000000"/>
      </right>
      <top style="thin">
        <color indexed="64"/>
      </top>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right/>
      <top/>
      <bottom style="thin">
        <color rgb="FF000000"/>
      </bottom>
      <diagonal/>
    </border>
    <border>
      <left/>
      <right style="thin">
        <color rgb="FF000000"/>
      </right>
      <top style="thin">
        <color indexed="64"/>
      </top>
      <bottom/>
      <diagonal/>
    </border>
    <border>
      <left/>
      <right style="thin">
        <color rgb="FF000000"/>
      </right>
      <top/>
      <bottom style="thin">
        <color rgb="FF000000"/>
      </bottom>
      <diagonal/>
    </border>
    <border>
      <left style="thin">
        <color rgb="FF000000"/>
      </left>
      <right style="thin">
        <color indexed="64"/>
      </right>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style="thin">
        <color rgb="FF000000"/>
      </left>
      <right style="thin">
        <color indexed="64"/>
      </right>
      <top style="thin">
        <color indexed="64"/>
      </top>
      <bottom/>
      <diagonal/>
    </border>
    <border>
      <left style="thin">
        <color rgb="FF000000"/>
      </left>
      <right style="thin">
        <color indexed="64"/>
      </right>
      <top/>
      <bottom/>
      <diagonal/>
    </border>
    <border>
      <left/>
      <right style="thin">
        <color rgb="FF000000"/>
      </right>
      <top style="thin">
        <color rgb="FF000000"/>
      </top>
      <bottom style="thin">
        <color indexed="64"/>
      </bottom>
      <diagonal/>
    </border>
    <border>
      <left/>
      <right/>
      <top style="thin">
        <color rgb="FF000000"/>
      </top>
      <bottom style="thin">
        <color rgb="FF000000"/>
      </bottom>
      <diagonal/>
    </border>
    <border>
      <left style="thin">
        <color rgb="FF000000"/>
      </left>
      <right style="thin">
        <color indexed="64"/>
      </right>
      <top/>
      <bottom style="thin">
        <color rgb="FF000000"/>
      </bottom>
      <diagonal/>
    </border>
    <border>
      <left/>
      <right style="thin">
        <color indexed="64"/>
      </right>
      <top/>
      <bottom style="thin">
        <color rgb="FF000000"/>
      </bottom>
      <diagonal/>
    </border>
    <border>
      <left/>
      <right/>
      <top style="thin">
        <color rgb="FF000000"/>
      </top>
      <bottom style="medium">
        <color rgb="FF000000"/>
      </bottom>
      <diagonal/>
    </border>
    <border>
      <left/>
      <right/>
      <top/>
      <bottom style="medium">
        <color rgb="FF000000"/>
      </bottom>
      <diagonal/>
    </border>
    <border>
      <left style="thin">
        <color rgb="FF000000"/>
      </left>
      <right/>
      <top style="thin">
        <color rgb="FF000000"/>
      </top>
      <bottom style="thin">
        <color indexed="64"/>
      </bottom>
      <diagonal/>
    </border>
    <border>
      <left/>
      <right/>
      <top style="thin">
        <color rgb="FF000000"/>
      </top>
      <bottom/>
      <diagonal/>
    </border>
    <border>
      <left style="thin">
        <color rgb="FF000000"/>
      </left>
      <right/>
      <top style="thin">
        <color indexed="64"/>
      </top>
      <bottom/>
      <diagonal/>
    </border>
    <border>
      <left style="thin">
        <color rgb="FF000000"/>
      </left>
      <right/>
      <top/>
      <bottom/>
      <diagonal/>
    </border>
    <border>
      <left style="thin">
        <color rgb="FF000000"/>
      </left>
      <right/>
      <top/>
      <bottom style="thin">
        <color indexed="64"/>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style="thin">
        <color rgb="FF000000"/>
      </right>
      <top style="thin">
        <color indexed="64"/>
      </top>
      <bottom style="thin">
        <color rgb="FF000000"/>
      </bottom>
      <diagonal/>
    </border>
    <border>
      <left style="thin">
        <color indexed="64"/>
      </left>
      <right style="thin">
        <color rgb="FF000000"/>
      </right>
      <top style="thin">
        <color indexed="64"/>
      </top>
      <bottom/>
      <diagonal/>
    </border>
    <border>
      <left style="thin">
        <color rgb="FF000000"/>
      </left>
      <right/>
      <top/>
      <bottom style="thin">
        <color rgb="FF000000"/>
      </bottom>
      <diagonal/>
    </border>
    <border>
      <left/>
      <right style="thin">
        <color rgb="FF000000"/>
      </right>
      <top/>
      <bottom style="thin">
        <color indexed="64"/>
      </bottom>
      <diagonal/>
    </border>
    <border>
      <left style="medium">
        <color rgb="FF000000"/>
      </left>
      <right/>
      <top style="medium">
        <color rgb="FF000000"/>
      </top>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thin">
        <color rgb="FF000000"/>
      </top>
      <bottom/>
      <diagonal/>
    </border>
    <border>
      <left/>
      <right style="medium">
        <color rgb="FF000000"/>
      </right>
      <top style="thin">
        <color indexed="64"/>
      </top>
      <bottom style="thin">
        <color indexed="64"/>
      </bottom>
      <diagonal/>
    </border>
    <border>
      <left style="medium">
        <color rgb="FF000000"/>
      </left>
      <right/>
      <top style="thin">
        <color indexed="64"/>
      </top>
      <bottom style="thin">
        <color indexed="64"/>
      </bottom>
      <diagonal/>
    </border>
    <border>
      <left/>
      <right style="medium">
        <color rgb="FF000000"/>
      </right>
      <top style="thin">
        <color indexed="64"/>
      </top>
      <bottom/>
      <diagonal/>
    </border>
    <border>
      <left/>
      <right style="medium">
        <color rgb="FF000000"/>
      </right>
      <top/>
      <bottom style="thin">
        <color indexed="64"/>
      </bottom>
      <diagonal/>
    </border>
    <border>
      <left style="medium">
        <color rgb="FF000000"/>
      </left>
      <right/>
      <top style="thin">
        <color indexed="64"/>
      </top>
      <bottom/>
      <diagonal/>
    </border>
    <border>
      <left style="medium">
        <color rgb="FF000000"/>
      </left>
      <right/>
      <top/>
      <bottom/>
      <diagonal/>
    </border>
    <border>
      <left style="medium">
        <color rgb="FF000000"/>
      </left>
      <right/>
      <top/>
      <bottom style="thin">
        <color indexed="64"/>
      </bottom>
      <diagonal/>
    </border>
    <border>
      <left/>
      <right style="medium">
        <color rgb="FF000000"/>
      </right>
      <top/>
      <bottom/>
      <diagonal/>
    </border>
    <border>
      <left style="medium">
        <color rgb="FF000000"/>
      </left>
      <right/>
      <top/>
      <bottom style="medium">
        <color rgb="FF000000"/>
      </bottom>
      <diagonal/>
    </border>
    <border>
      <left style="thin">
        <color rgb="FF000000"/>
      </left>
      <right/>
      <top/>
      <bottom style="medium">
        <color rgb="FF000000"/>
      </bottom>
      <diagonal/>
    </border>
    <border>
      <left/>
      <right style="thin">
        <color rgb="FF000000"/>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thin">
        <color rgb="FF000000"/>
      </bottom>
      <diagonal/>
    </border>
    <border>
      <left style="thin">
        <color indexed="64"/>
      </left>
      <right style="medium">
        <color rgb="FF000000"/>
      </right>
      <top style="thin">
        <color indexed="64"/>
      </top>
      <bottom style="thin">
        <color indexed="64"/>
      </bottom>
      <diagonal/>
    </border>
    <border>
      <left style="thin">
        <color indexed="64"/>
      </left>
      <right style="medium">
        <color rgb="FF000000"/>
      </right>
      <top style="thin">
        <color indexed="64"/>
      </top>
      <bottom/>
      <diagonal/>
    </border>
    <border>
      <left style="thin">
        <color indexed="64"/>
      </left>
      <right style="medium">
        <color rgb="FF000000"/>
      </right>
      <top/>
      <bottom style="thin">
        <color indexed="64"/>
      </bottom>
      <diagonal/>
    </border>
    <border>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medium">
        <color rgb="FF000000"/>
      </top>
      <bottom style="thin">
        <color indexed="64"/>
      </bottom>
      <diagonal/>
    </border>
    <border>
      <left/>
      <right style="medium">
        <color rgb="FF000000"/>
      </right>
      <top style="medium">
        <color rgb="FF000000"/>
      </top>
      <bottom style="thin">
        <color indexed="64"/>
      </bottom>
      <diagonal/>
    </border>
    <border>
      <left style="medium">
        <color rgb="FF000000"/>
      </left>
      <right style="thin">
        <color indexed="64"/>
      </right>
      <top style="thin">
        <color indexed="64"/>
      </top>
      <bottom style="thin">
        <color indexed="64"/>
      </bottom>
      <diagonal/>
    </border>
    <border>
      <left style="medium">
        <color rgb="FF000000"/>
      </left>
      <right style="thin">
        <color indexed="64"/>
      </right>
      <top/>
      <bottom style="medium">
        <color rgb="FF000000"/>
      </bottom>
      <diagonal/>
    </border>
    <border>
      <left style="thin">
        <color indexed="64"/>
      </left>
      <right style="medium">
        <color rgb="FF000000"/>
      </right>
      <top/>
      <bottom style="medium">
        <color rgb="FF000000"/>
      </bottom>
      <diagonal/>
    </border>
    <border>
      <left style="medium">
        <color rgb="FF000000"/>
      </left>
      <right style="thin">
        <color indexed="64"/>
      </right>
      <top/>
      <bottom style="thin">
        <color indexed="64"/>
      </bottom>
      <diagonal/>
    </border>
    <border>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style="medium">
        <color rgb="FF000000"/>
      </right>
      <top/>
      <bottom style="thin">
        <color rgb="FF000000"/>
      </bottom>
      <diagonal/>
    </border>
    <border>
      <left style="medium">
        <color rgb="FF000000"/>
      </left>
      <right/>
      <top style="thin">
        <color rgb="FF000000"/>
      </top>
      <bottom style="thin">
        <color rgb="FF000000"/>
      </bottom>
      <diagonal/>
    </border>
    <border>
      <left style="thin">
        <color rgb="FF000000"/>
      </left>
      <right style="medium">
        <color rgb="FF000000"/>
      </right>
      <top style="thin">
        <color indexed="64"/>
      </top>
      <bottom/>
      <diagonal/>
    </border>
    <border>
      <left style="thin">
        <color rgb="FF000000"/>
      </left>
      <right style="medium">
        <color rgb="FF000000"/>
      </right>
      <top/>
      <bottom style="thin">
        <color indexed="64"/>
      </bottom>
      <diagonal/>
    </border>
    <border>
      <left style="thin">
        <color rgb="FF000000"/>
      </left>
      <right style="medium">
        <color rgb="FF000000"/>
      </right>
      <top style="thin">
        <color indexed="64"/>
      </top>
      <bottom style="thin">
        <color indexed="64"/>
      </bottom>
      <diagonal/>
    </border>
    <border>
      <left style="medium">
        <color rgb="FF000000"/>
      </left>
      <right/>
      <top/>
      <bottom style="thin">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diagonal/>
    </border>
    <border>
      <left/>
      <right style="medium">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right style="thin">
        <color rgb="FF000000"/>
      </right>
      <top style="thin">
        <color indexed="64"/>
      </top>
      <bottom style="medium">
        <color rgb="FF000000"/>
      </bottom>
      <diagonal/>
    </border>
    <border>
      <left style="thin">
        <color rgb="FF000000"/>
      </left>
      <right style="thin">
        <color rgb="FF000000"/>
      </right>
      <top style="thin">
        <color indexed="64"/>
      </top>
      <bottom style="medium">
        <color rgb="FF000000"/>
      </bottom>
      <diagonal/>
    </border>
    <border>
      <left/>
      <right style="thin">
        <color indexed="64"/>
      </right>
      <top style="thin">
        <color indexed="64"/>
      </top>
      <bottom style="medium">
        <color rgb="FF000000"/>
      </bottom>
      <diagonal/>
    </border>
    <border>
      <left/>
      <right style="medium">
        <color rgb="FF000000"/>
      </right>
      <top style="thin">
        <color indexed="64"/>
      </top>
      <bottom style="medium">
        <color rgb="FF000000"/>
      </bottom>
      <diagonal/>
    </border>
    <border>
      <left style="medium">
        <color rgb="FF000000"/>
      </left>
      <right style="medium">
        <color rgb="FF000000"/>
      </right>
      <top style="medium">
        <color rgb="FF000000"/>
      </top>
      <bottom style="medium">
        <color rgb="FF000000"/>
      </bottom>
      <diagonal/>
    </border>
  </borders>
  <cellStyleXfs count="4">
    <xf numFmtId="0" fontId="0" fillId="0" borderId="0"/>
    <xf numFmtId="0" fontId="3" fillId="0" borderId="0"/>
    <xf numFmtId="0" fontId="22" fillId="0" borderId="0"/>
    <xf numFmtId="0" fontId="25" fillId="0" borderId="0" applyNumberFormat="0" applyFill="0" applyBorder="0" applyAlignment="0" applyProtection="0"/>
  </cellStyleXfs>
  <cellXfs count="591">
    <xf numFmtId="0" fontId="0" fillId="0" borderId="0" xfId="0"/>
    <xf numFmtId="2" fontId="0" fillId="0" borderId="0" xfId="0" applyNumberFormat="1"/>
    <xf numFmtId="0" fontId="2" fillId="0" borderId="7" xfId="0" applyFont="1" applyBorder="1"/>
    <xf numFmtId="0" fontId="3" fillId="0" borderId="9" xfId="1" applyBorder="1" applyAlignment="1">
      <alignment vertical="center" wrapText="1"/>
    </xf>
    <xf numFmtId="0" fontId="4" fillId="0" borderId="0" xfId="0" applyFont="1"/>
    <xf numFmtId="2" fontId="2" fillId="4" borderId="5" xfId="0" applyNumberFormat="1" applyFont="1" applyFill="1" applyBorder="1" applyAlignment="1">
      <alignment horizontal="right"/>
    </xf>
    <xf numFmtId="2" fontId="0" fillId="0" borderId="2" xfId="0" applyNumberFormat="1" applyBorder="1" applyAlignment="1">
      <alignment horizontal="right"/>
    </xf>
    <xf numFmtId="0" fontId="0" fillId="0" borderId="12" xfId="0" applyBorder="1" applyAlignment="1">
      <alignment horizontal="center" vertical="center" wrapText="1"/>
    </xf>
    <xf numFmtId="0" fontId="0" fillId="0" borderId="13" xfId="0" applyBorder="1"/>
    <xf numFmtId="0" fontId="2" fillId="0" borderId="16" xfId="0" applyFont="1" applyBorder="1"/>
    <xf numFmtId="0" fontId="3" fillId="0" borderId="13" xfId="1" applyBorder="1" applyAlignment="1">
      <alignment vertical="center" wrapText="1"/>
    </xf>
    <xf numFmtId="0" fontId="0" fillId="3" borderId="13" xfId="0" applyFill="1" applyBorder="1"/>
    <xf numFmtId="0" fontId="0" fillId="5" borderId="14" xfId="0" applyFill="1" applyBorder="1"/>
    <xf numFmtId="0" fontId="3" fillId="0" borderId="20" xfId="1" applyBorder="1" applyAlignment="1">
      <alignment vertical="center" wrapText="1"/>
    </xf>
    <xf numFmtId="0" fontId="0" fillId="3" borderId="20" xfId="0" applyFill="1" applyBorder="1"/>
    <xf numFmtId="0" fontId="3" fillId="6" borderId="20" xfId="1" applyFill="1" applyBorder="1" applyAlignment="1">
      <alignment vertical="center" wrapText="1"/>
    </xf>
    <xf numFmtId="2" fontId="0" fillId="0" borderId="14" xfId="0" applyNumberFormat="1" applyBorder="1" applyAlignment="1">
      <alignment horizontal="right"/>
    </xf>
    <xf numFmtId="2" fontId="0" fillId="0" borderId="20" xfId="0" applyNumberFormat="1" applyBorder="1" applyAlignment="1">
      <alignment horizontal="right"/>
    </xf>
    <xf numFmtId="2" fontId="0" fillId="0" borderId="15" xfId="0" applyNumberFormat="1" applyBorder="1" applyAlignment="1">
      <alignment horizontal="right"/>
    </xf>
    <xf numFmtId="0" fontId="0" fillId="0" borderId="6" xfId="0" applyBorder="1" applyAlignment="1">
      <alignment horizontal="center" wrapText="1"/>
    </xf>
    <xf numFmtId="0" fontId="0" fillId="0" borderId="6" xfId="0" applyBorder="1" applyAlignment="1">
      <alignment vertical="center" wrapText="1"/>
    </xf>
    <xf numFmtId="0" fontId="10" fillId="0" borderId="6" xfId="0" applyFont="1" applyBorder="1" applyAlignment="1">
      <alignment horizontal="center" vertical="center" wrapText="1"/>
    </xf>
    <xf numFmtId="0" fontId="10" fillId="0" borderId="8" xfId="0" applyFont="1" applyBorder="1" applyAlignment="1">
      <alignment horizontal="center" vertical="center" wrapText="1"/>
    </xf>
    <xf numFmtId="0" fontId="0" fillId="0" borderId="10" xfId="0" applyBorder="1" applyAlignment="1">
      <alignment vertical="center" wrapText="1"/>
    </xf>
    <xf numFmtId="0" fontId="11" fillId="0" borderId="4" xfId="0" applyFont="1" applyBorder="1" applyAlignment="1">
      <alignment horizontal="center" vertical="center" wrapText="1"/>
    </xf>
    <xf numFmtId="0" fontId="0" fillId="6" borderId="14" xfId="0" applyFill="1" applyBorder="1" applyAlignment="1">
      <alignment vertical="center"/>
    </xf>
    <xf numFmtId="1" fontId="0" fillId="7" borderId="12" xfId="0" applyNumberFormat="1" applyFill="1" applyBorder="1" applyAlignment="1">
      <alignment horizontal="center"/>
    </xf>
    <xf numFmtId="1" fontId="0" fillId="7" borderId="24" xfId="0" applyNumberFormat="1" applyFill="1" applyBorder="1" applyAlignment="1">
      <alignment horizontal="center"/>
    </xf>
    <xf numFmtId="0" fontId="0" fillId="6" borderId="15" xfId="0" applyFill="1" applyBorder="1" applyAlignment="1">
      <alignment vertical="center"/>
    </xf>
    <xf numFmtId="0" fontId="0" fillId="8" borderId="12" xfId="0" applyFill="1" applyBorder="1" applyAlignment="1">
      <alignment horizontal="center"/>
    </xf>
    <xf numFmtId="1" fontId="12" fillId="8" borderId="12" xfId="0" applyNumberFormat="1" applyFont="1" applyFill="1" applyBorder="1" applyAlignment="1">
      <alignment horizontal="center"/>
    </xf>
    <xf numFmtId="1" fontId="12" fillId="8" borderId="24" xfId="0" applyNumberFormat="1" applyFont="1" applyFill="1" applyBorder="1" applyAlignment="1">
      <alignment horizontal="center"/>
    </xf>
    <xf numFmtId="0" fontId="11" fillId="0" borderId="6" xfId="0" applyFont="1" applyBorder="1" applyAlignment="1">
      <alignment horizontal="center" vertical="center" wrapText="1"/>
    </xf>
    <xf numFmtId="0" fontId="0" fillId="6" borderId="6" xfId="0" applyFill="1" applyBorder="1" applyAlignment="1">
      <alignment vertical="center" wrapText="1"/>
    </xf>
    <xf numFmtId="1" fontId="0" fillId="7" borderId="6" xfId="0" applyNumberFormat="1" applyFill="1" applyBorder="1" applyAlignment="1">
      <alignment horizontal="center"/>
    </xf>
    <xf numFmtId="1" fontId="0" fillId="8" borderId="6" xfId="0" applyNumberFormat="1" applyFill="1" applyBorder="1" applyAlignment="1">
      <alignment horizontal="center"/>
    </xf>
    <xf numFmtId="1" fontId="12" fillId="8" borderId="6" xfId="0" applyNumberFormat="1" applyFont="1" applyFill="1" applyBorder="1" applyAlignment="1">
      <alignment horizontal="center"/>
    </xf>
    <xf numFmtId="0" fontId="11" fillId="0" borderId="10" xfId="0" applyFont="1" applyBorder="1" applyAlignment="1">
      <alignment horizontal="center" vertical="center" wrapText="1"/>
    </xf>
    <xf numFmtId="0" fontId="15" fillId="0" borderId="9" xfId="1" applyFont="1" applyBorder="1" applyAlignment="1">
      <alignment vertical="center" wrapText="1"/>
    </xf>
    <xf numFmtId="0" fontId="14" fillId="3" borderId="11" xfId="0" applyFont="1" applyFill="1" applyBorder="1"/>
    <xf numFmtId="2" fontId="0" fillId="5" borderId="14" xfId="0" applyNumberFormat="1" applyFill="1" applyBorder="1"/>
    <xf numFmtId="0" fontId="3" fillId="0" borderId="0" xfId="1" applyAlignment="1">
      <alignment vertical="center" wrapText="1"/>
    </xf>
    <xf numFmtId="0" fontId="15" fillId="0" borderId="0" xfId="1" applyFont="1" applyAlignment="1">
      <alignment vertical="center" wrapText="1"/>
    </xf>
    <xf numFmtId="0" fontId="0" fillId="3" borderId="0" xfId="0" applyFill="1"/>
    <xf numFmtId="0" fontId="15" fillId="6" borderId="0" xfId="1" applyFont="1" applyFill="1" applyAlignment="1">
      <alignment vertical="center" wrapText="1"/>
    </xf>
    <xf numFmtId="0" fontId="2" fillId="0" borderId="0" xfId="0" applyFont="1"/>
    <xf numFmtId="1" fontId="2" fillId="0" borderId="0" xfId="0" applyNumberFormat="1" applyFont="1" applyAlignment="1">
      <alignment horizontal="center" vertical="center"/>
    </xf>
    <xf numFmtId="1" fontId="1" fillId="0" borderId="0" xfId="0" applyNumberFormat="1" applyFont="1" applyAlignment="1">
      <alignment horizontal="center" vertical="center"/>
    </xf>
    <xf numFmtId="0" fontId="0" fillId="0" borderId="0" xfId="0" applyAlignment="1">
      <alignment horizontal="center" vertical="center"/>
    </xf>
    <xf numFmtId="1" fontId="0" fillId="0" borderId="0" xfId="0" applyNumberFormat="1"/>
    <xf numFmtId="0" fontId="3" fillId="6" borderId="0" xfId="1" applyFill="1" applyAlignment="1">
      <alignment vertical="center" wrapText="1"/>
    </xf>
    <xf numFmtId="0" fontId="3" fillId="0" borderId="26" xfId="1" applyBorder="1" applyAlignment="1">
      <alignment vertical="center" wrapText="1"/>
    </xf>
    <xf numFmtId="2" fontId="3" fillId="0" borderId="20" xfId="1" applyNumberFormat="1" applyBorder="1" applyAlignment="1">
      <alignment vertical="center" wrapText="1"/>
    </xf>
    <xf numFmtId="2" fontId="3" fillId="6" borderId="20" xfId="1" applyNumberFormat="1" applyFill="1" applyBorder="1" applyAlignment="1">
      <alignment vertical="center" wrapText="1"/>
    </xf>
    <xf numFmtId="2" fontId="3" fillId="0" borderId="9" xfId="1" applyNumberFormat="1" applyBorder="1" applyAlignment="1">
      <alignment vertical="center" wrapText="1"/>
    </xf>
    <xf numFmtId="2" fontId="3" fillId="0" borderId="15" xfId="1" applyNumberFormat="1" applyBorder="1" applyAlignment="1">
      <alignment vertical="center" wrapText="1"/>
    </xf>
    <xf numFmtId="0" fontId="3" fillId="6" borderId="13" xfId="1" applyFill="1" applyBorder="1" applyAlignment="1">
      <alignment vertical="center" wrapText="1"/>
    </xf>
    <xf numFmtId="0" fontId="3" fillId="0" borderId="28" xfId="1" applyBorder="1" applyAlignment="1">
      <alignment vertical="center" wrapText="1"/>
    </xf>
    <xf numFmtId="2" fontId="5" fillId="5" borderId="1" xfId="0" applyNumberFormat="1" applyFont="1" applyFill="1" applyBorder="1" applyAlignment="1">
      <alignment horizontal="right"/>
    </xf>
    <xf numFmtId="2" fontId="0" fillId="0" borderId="12" xfId="0" applyNumberFormat="1" applyBorder="1" applyAlignment="1">
      <alignment horizontal="center" vertical="center"/>
    </xf>
    <xf numFmtId="164" fontId="0" fillId="0" borderId="13" xfId="0" applyNumberFormat="1" applyBorder="1"/>
    <xf numFmtId="0" fontId="3" fillId="6" borderId="21" xfId="1" applyFill="1" applyBorder="1" applyAlignment="1">
      <alignment vertical="center" wrapText="1"/>
    </xf>
    <xf numFmtId="2" fontId="3" fillId="6" borderId="15" xfId="1" applyNumberFormat="1" applyFill="1" applyBorder="1" applyAlignment="1">
      <alignment vertical="center" wrapText="1"/>
    </xf>
    <xf numFmtId="2" fontId="3" fillId="0" borderId="27" xfId="1" applyNumberFormat="1" applyBorder="1" applyAlignment="1">
      <alignment vertical="center" wrapText="1"/>
    </xf>
    <xf numFmtId="2" fontId="5" fillId="5" borderId="29" xfId="0" applyNumberFormat="1" applyFont="1" applyFill="1" applyBorder="1" applyAlignment="1">
      <alignment horizontal="right"/>
    </xf>
    <xf numFmtId="2" fontId="2" fillId="4" borderId="30" xfId="0" applyNumberFormat="1" applyFont="1" applyFill="1" applyBorder="1" applyAlignment="1">
      <alignment horizontal="right"/>
    </xf>
    <xf numFmtId="2" fontId="0" fillId="3" borderId="20" xfId="0" applyNumberFormat="1" applyFill="1" applyBorder="1"/>
    <xf numFmtId="2" fontId="3" fillId="0" borderId="13" xfId="1" applyNumberFormat="1" applyBorder="1" applyAlignment="1">
      <alignment vertical="center" wrapText="1"/>
    </xf>
    <xf numFmtId="2" fontId="0" fillId="3" borderId="13" xfId="0" applyNumberFormat="1" applyFill="1" applyBorder="1"/>
    <xf numFmtId="2" fontId="3" fillId="6" borderId="13" xfId="1" applyNumberFormat="1" applyFill="1" applyBorder="1" applyAlignment="1">
      <alignment vertical="center" wrapText="1"/>
    </xf>
    <xf numFmtId="2" fontId="3" fillId="6" borderId="27" xfId="1" applyNumberFormat="1" applyFill="1" applyBorder="1" applyAlignment="1">
      <alignment vertical="center" wrapText="1"/>
    </xf>
    <xf numFmtId="1" fontId="0" fillId="0" borderId="13" xfId="0" applyNumberFormat="1" applyBorder="1"/>
    <xf numFmtId="2" fontId="3" fillId="0" borderId="28" xfId="1" applyNumberFormat="1" applyBorder="1" applyAlignment="1">
      <alignment vertical="center" wrapText="1"/>
    </xf>
    <xf numFmtId="2" fontId="3" fillId="6" borderId="21" xfId="1" applyNumberFormat="1" applyFill="1" applyBorder="1" applyAlignment="1">
      <alignment vertical="center" wrapText="1"/>
    </xf>
    <xf numFmtId="0" fontId="6" fillId="0" borderId="12" xfId="0" applyFont="1" applyBorder="1"/>
    <xf numFmtId="0" fontId="10" fillId="0" borderId="30" xfId="0" applyFont="1" applyBorder="1" applyAlignment="1">
      <alignment horizontal="center" vertical="center" wrapText="1"/>
    </xf>
    <xf numFmtId="0" fontId="11" fillId="0" borderId="32" xfId="0" applyFont="1" applyBorder="1" applyAlignment="1">
      <alignment horizontal="center" vertical="center" wrapText="1"/>
    </xf>
    <xf numFmtId="0" fontId="20" fillId="0" borderId="8" xfId="0" applyFont="1" applyBorder="1" applyAlignment="1">
      <alignment horizontal="center" vertical="center" wrapText="1"/>
    </xf>
    <xf numFmtId="2" fontId="2" fillId="9" borderId="19" xfId="0" applyNumberFormat="1" applyFont="1" applyFill="1" applyBorder="1"/>
    <xf numFmtId="2" fontId="0" fillId="6" borderId="20" xfId="0" applyNumberFormat="1" applyFill="1" applyBorder="1"/>
    <xf numFmtId="2" fontId="2" fillId="9" borderId="5" xfId="0" applyNumberFormat="1" applyFont="1" applyFill="1" applyBorder="1" applyAlignment="1">
      <alignment horizontal="right"/>
    </xf>
    <xf numFmtId="2" fontId="3" fillId="6" borderId="28" xfId="1" applyNumberFormat="1" applyFill="1" applyBorder="1" applyAlignment="1">
      <alignment vertical="center" wrapText="1"/>
    </xf>
    <xf numFmtId="2" fontId="0" fillId="6" borderId="13" xfId="0" applyNumberFormat="1" applyFill="1" applyBorder="1"/>
    <xf numFmtId="1" fontId="0" fillId="8" borderId="12" xfId="0" applyNumberFormat="1" applyFill="1" applyBorder="1" applyAlignment="1">
      <alignment horizontal="center"/>
    </xf>
    <xf numFmtId="2" fontId="0" fillId="0" borderId="33" xfId="0" applyNumberFormat="1" applyBorder="1" applyAlignment="1">
      <alignment horizontal="right"/>
    </xf>
    <xf numFmtId="0" fontId="0" fillId="6" borderId="0" xfId="0" applyFill="1" applyAlignment="1">
      <alignment horizontal="center"/>
    </xf>
    <xf numFmtId="2" fontId="0" fillId="0" borderId="36" xfId="0" applyNumberFormat="1" applyBorder="1" applyAlignment="1">
      <alignment horizontal="right"/>
    </xf>
    <xf numFmtId="0" fontId="3" fillId="6" borderId="27" xfId="1" applyFill="1" applyBorder="1" applyAlignment="1">
      <alignment vertical="center" wrapText="1"/>
    </xf>
    <xf numFmtId="2" fontId="0" fillId="0" borderId="37" xfId="0" applyNumberFormat="1" applyBorder="1" applyAlignment="1">
      <alignment horizontal="right"/>
    </xf>
    <xf numFmtId="0" fontId="0" fillId="0" borderId="0" xfId="0" applyAlignment="1">
      <alignment vertical="center"/>
    </xf>
    <xf numFmtId="0" fontId="0" fillId="0" borderId="0" xfId="0" applyAlignment="1">
      <alignment horizontal="center" vertical="center" wrapText="1"/>
    </xf>
    <xf numFmtId="0" fontId="0" fillId="0" borderId="0" xfId="0" applyAlignment="1">
      <alignment vertical="center" wrapText="1"/>
    </xf>
    <xf numFmtId="0" fontId="0" fillId="6" borderId="0" xfId="0" applyFill="1"/>
    <xf numFmtId="9" fontId="0" fillId="0" borderId="0" xfId="0" applyNumberFormat="1"/>
    <xf numFmtId="0" fontId="0" fillId="0" borderId="0" xfId="0" applyAlignment="1">
      <alignment horizontal="right"/>
    </xf>
    <xf numFmtId="0" fontId="6" fillId="0" borderId="0" xfId="0" applyFont="1"/>
    <xf numFmtId="0" fontId="0" fillId="0" borderId="12" xfId="0" applyBorder="1"/>
    <xf numFmtId="0" fontId="0" fillId="0" borderId="15" xfId="0" applyBorder="1"/>
    <xf numFmtId="9" fontId="0" fillId="0" borderId="12" xfId="0" applyNumberFormat="1" applyBorder="1"/>
    <xf numFmtId="0" fontId="16" fillId="0" borderId="0" xfId="0" applyFont="1"/>
    <xf numFmtId="0" fontId="20" fillId="0" borderId="6" xfId="0" applyFont="1" applyBorder="1" applyAlignment="1">
      <alignment horizontal="center" vertical="center" wrapText="1"/>
    </xf>
    <xf numFmtId="0" fontId="19" fillId="0" borderId="12" xfId="0" applyFont="1" applyBorder="1" applyAlignment="1">
      <alignment horizontal="center" vertical="center" wrapText="1"/>
    </xf>
    <xf numFmtId="2" fontId="2" fillId="9" borderId="16" xfId="0" applyNumberFormat="1" applyFont="1" applyFill="1" applyBorder="1"/>
    <xf numFmtId="0" fontId="2" fillId="0" borderId="39" xfId="0" applyFont="1" applyBorder="1"/>
    <xf numFmtId="9" fontId="0" fillId="6" borderId="0" xfId="0" applyNumberFormat="1" applyFill="1" applyAlignment="1">
      <alignment horizontal="center"/>
    </xf>
    <xf numFmtId="9" fontId="0" fillId="6" borderId="0" xfId="0" applyNumberFormat="1" applyFill="1" applyAlignment="1">
      <alignment horizontal="center" vertical="center"/>
    </xf>
    <xf numFmtId="0" fontId="0" fillId="6" borderId="0" xfId="0" applyFill="1" applyAlignment="1">
      <alignment horizontal="left" vertical="center" wrapText="1"/>
    </xf>
    <xf numFmtId="2" fontId="0" fillId="6" borderId="0" xfId="0" applyNumberFormat="1" applyFill="1"/>
    <xf numFmtId="0" fontId="2" fillId="0" borderId="18" xfId="0" applyFont="1" applyBorder="1"/>
    <xf numFmtId="0" fontId="0" fillId="0" borderId="0" xfId="0" applyAlignment="1">
      <alignment wrapText="1"/>
    </xf>
    <xf numFmtId="2" fontId="6" fillId="5" borderId="14" xfId="0" applyNumberFormat="1" applyFont="1" applyFill="1" applyBorder="1"/>
    <xf numFmtId="2" fontId="6" fillId="0" borderId="0" xfId="0" applyNumberFormat="1" applyFont="1"/>
    <xf numFmtId="0" fontId="0" fillId="0" borderId="41" xfId="0" applyBorder="1"/>
    <xf numFmtId="0" fontId="2" fillId="0" borderId="31" xfId="0" applyFont="1" applyBorder="1"/>
    <xf numFmtId="0" fontId="14" fillId="3" borderId="44" xfId="0" applyFont="1" applyFill="1" applyBorder="1"/>
    <xf numFmtId="2" fontId="0" fillId="5" borderId="25" xfId="0" applyNumberFormat="1" applyFill="1" applyBorder="1"/>
    <xf numFmtId="0" fontId="10" fillId="0" borderId="45" xfId="0" applyFont="1" applyBorder="1" applyAlignment="1">
      <alignment horizontal="center" vertical="center" wrapText="1"/>
    </xf>
    <xf numFmtId="0" fontId="11" fillId="0" borderId="30" xfId="0" applyFont="1" applyBorder="1" applyAlignment="1">
      <alignment horizontal="center" vertical="center" wrapText="1"/>
    </xf>
    <xf numFmtId="0" fontId="11" fillId="0" borderId="45" xfId="0" applyFont="1" applyBorder="1" applyAlignment="1">
      <alignment horizontal="center" vertical="center" wrapText="1"/>
    </xf>
    <xf numFmtId="1" fontId="0" fillId="7" borderId="30" xfId="0" applyNumberFormat="1" applyFill="1" applyBorder="1" applyAlignment="1">
      <alignment horizontal="center"/>
    </xf>
    <xf numFmtId="1" fontId="0" fillId="7" borderId="45" xfId="0" applyNumberFormat="1" applyFill="1" applyBorder="1" applyAlignment="1">
      <alignment horizontal="center"/>
    </xf>
    <xf numFmtId="1" fontId="0" fillId="8" borderId="46" xfId="0" applyNumberFormat="1" applyFill="1" applyBorder="1" applyAlignment="1">
      <alignment horizontal="center"/>
    </xf>
    <xf numFmtId="1" fontId="12" fillId="8" borderId="47" xfId="0" applyNumberFormat="1" applyFont="1" applyFill="1" applyBorder="1" applyAlignment="1">
      <alignment horizontal="center"/>
    </xf>
    <xf numFmtId="1" fontId="12" fillId="8" borderId="48" xfId="0" applyNumberFormat="1" applyFont="1" applyFill="1" applyBorder="1" applyAlignment="1">
      <alignment horizontal="center"/>
    </xf>
    <xf numFmtId="0" fontId="11" fillId="0" borderId="49" xfId="0" applyFont="1" applyBorder="1" applyAlignment="1">
      <alignment horizontal="center" vertical="center" wrapText="1"/>
    </xf>
    <xf numFmtId="0" fontId="16" fillId="0" borderId="52" xfId="0" applyFont="1" applyBorder="1"/>
    <xf numFmtId="0" fontId="0" fillId="0" borderId="55" xfId="0" applyBorder="1"/>
    <xf numFmtId="0" fontId="6" fillId="0" borderId="56" xfId="0" applyFont="1" applyBorder="1"/>
    <xf numFmtId="0" fontId="2" fillId="0" borderId="57" xfId="0" applyFont="1" applyBorder="1"/>
    <xf numFmtId="0" fontId="14" fillId="3" borderId="60" xfId="0" applyFont="1" applyFill="1" applyBorder="1"/>
    <xf numFmtId="1" fontId="0" fillId="7" borderId="56" xfId="0" applyNumberFormat="1" applyFill="1" applyBorder="1" applyAlignment="1">
      <alignment horizontal="center"/>
    </xf>
    <xf numFmtId="0" fontId="14" fillId="3" borderId="61" xfId="0" applyFont="1" applyFill="1" applyBorder="1"/>
    <xf numFmtId="0" fontId="14" fillId="3" borderId="62" xfId="0" applyFont="1" applyFill="1" applyBorder="1"/>
    <xf numFmtId="0" fontId="0" fillId="0" borderId="63" xfId="0" applyBorder="1"/>
    <xf numFmtId="0" fontId="14" fillId="6" borderId="61" xfId="0" applyFont="1" applyFill="1" applyBorder="1"/>
    <xf numFmtId="0" fontId="14" fillId="3" borderId="60" xfId="0" applyFont="1" applyFill="1" applyBorder="1" applyAlignment="1">
      <alignment vertical="center" wrapText="1"/>
    </xf>
    <xf numFmtId="0" fontId="14" fillId="3" borderId="61" xfId="0" applyFont="1" applyFill="1" applyBorder="1" applyAlignment="1">
      <alignment vertical="center" wrapText="1"/>
    </xf>
    <xf numFmtId="0" fontId="2" fillId="0" borderId="61" xfId="0" applyFont="1" applyBorder="1"/>
    <xf numFmtId="0" fontId="14" fillId="0" borderId="61" xfId="0" applyFont="1" applyBorder="1" applyAlignment="1">
      <alignment wrapText="1"/>
    </xf>
    <xf numFmtId="0" fontId="14" fillId="0" borderId="61" xfId="0" applyFont="1" applyBorder="1"/>
    <xf numFmtId="0" fontId="14" fillId="0" borderId="62" xfId="0" applyFont="1" applyBorder="1"/>
    <xf numFmtId="0" fontId="0" fillId="0" borderId="61" xfId="0" applyBorder="1"/>
    <xf numFmtId="0" fontId="0" fillId="0" borderId="64" xfId="0" applyBorder="1"/>
    <xf numFmtId="0" fontId="0" fillId="0" borderId="39" xfId="0" applyBorder="1"/>
    <xf numFmtId="0" fontId="0" fillId="0" borderId="67" xfId="0" applyBorder="1"/>
    <xf numFmtId="0" fontId="16" fillId="0" borderId="39" xfId="0" applyFont="1" applyBorder="1"/>
    <xf numFmtId="0" fontId="12" fillId="8" borderId="24" xfId="0" applyFont="1" applyFill="1" applyBorder="1" applyAlignment="1">
      <alignment horizontal="center"/>
    </xf>
    <xf numFmtId="0" fontId="0" fillId="8" borderId="24" xfId="0" applyFill="1" applyBorder="1" applyAlignment="1">
      <alignment horizontal="center"/>
    </xf>
    <xf numFmtId="0" fontId="18" fillId="7" borderId="22" xfId="0" applyFont="1" applyFill="1" applyBorder="1" applyAlignment="1">
      <alignment horizontal="center"/>
    </xf>
    <xf numFmtId="1" fontId="18" fillId="7" borderId="22" xfId="0" applyNumberFormat="1" applyFont="1" applyFill="1" applyBorder="1" applyAlignment="1">
      <alignment horizontal="center"/>
    </xf>
    <xf numFmtId="0" fontId="24" fillId="0" borderId="13" xfId="1" applyFont="1" applyBorder="1" applyAlignment="1">
      <alignment vertical="center" wrapText="1"/>
    </xf>
    <xf numFmtId="2" fontId="24" fillId="0" borderId="13" xfId="1" applyNumberFormat="1" applyFont="1" applyBorder="1" applyAlignment="1">
      <alignment vertical="center" wrapText="1"/>
    </xf>
    <xf numFmtId="2" fontId="24" fillId="6" borderId="13" xfId="1" applyNumberFormat="1" applyFont="1" applyFill="1" applyBorder="1" applyAlignment="1">
      <alignment vertical="center" wrapText="1"/>
    </xf>
    <xf numFmtId="0" fontId="24" fillId="0" borderId="28" xfId="1" applyFont="1" applyBorder="1" applyAlignment="1">
      <alignment vertical="center" wrapText="1"/>
    </xf>
    <xf numFmtId="2" fontId="24" fillId="0" borderId="27" xfId="1" applyNumberFormat="1" applyFont="1" applyBorder="1" applyAlignment="1">
      <alignment vertical="center" wrapText="1"/>
    </xf>
    <xf numFmtId="0" fontId="24" fillId="6" borderId="13" xfId="1" applyFont="1" applyFill="1" applyBorder="1" applyAlignment="1">
      <alignment vertical="center" wrapText="1"/>
    </xf>
    <xf numFmtId="2" fontId="24" fillId="0" borderId="28" xfId="1" applyNumberFormat="1" applyFont="1" applyBorder="1" applyAlignment="1">
      <alignment vertical="center" wrapText="1"/>
    </xf>
    <xf numFmtId="2" fontId="24" fillId="6" borderId="27" xfId="1" applyNumberFormat="1" applyFont="1" applyFill="1" applyBorder="1" applyAlignment="1">
      <alignment vertical="center" wrapText="1"/>
    </xf>
    <xf numFmtId="0" fontId="25" fillId="0" borderId="0" xfId="3"/>
    <xf numFmtId="2" fontId="3" fillId="3" borderId="21" xfId="1" applyNumberFormat="1" applyFill="1" applyBorder="1" applyAlignment="1">
      <alignment vertical="center" wrapText="1"/>
    </xf>
    <xf numFmtId="2" fontId="3" fillId="3" borderId="20" xfId="1" applyNumberFormat="1" applyFill="1" applyBorder="1" applyAlignment="1">
      <alignment vertical="center" wrapText="1"/>
    </xf>
    <xf numFmtId="0" fontId="14" fillId="0" borderId="0" xfId="0" applyFont="1"/>
    <xf numFmtId="2" fontId="27" fillId="0" borderId="12" xfId="0" applyNumberFormat="1" applyFont="1" applyBorder="1"/>
    <xf numFmtId="2" fontId="27" fillId="3" borderId="12" xfId="0" applyNumberFormat="1" applyFont="1" applyFill="1" applyBorder="1"/>
    <xf numFmtId="0" fontId="14" fillId="0" borderId="12" xfId="0" applyFont="1" applyBorder="1" applyAlignment="1">
      <alignment horizontal="center"/>
    </xf>
    <xf numFmtId="0" fontId="14" fillId="3" borderId="12" xfId="0" applyFont="1" applyFill="1" applyBorder="1" applyAlignment="1">
      <alignment horizontal="center"/>
    </xf>
    <xf numFmtId="0" fontId="14" fillId="6" borderId="12" xfId="0" applyFont="1" applyFill="1" applyBorder="1" applyAlignment="1">
      <alignment horizontal="center"/>
    </xf>
    <xf numFmtId="0" fontId="14" fillId="6" borderId="12" xfId="0" applyFont="1" applyFill="1" applyBorder="1"/>
    <xf numFmtId="0" fontId="14" fillId="3" borderId="12" xfId="0" applyFont="1" applyFill="1" applyBorder="1"/>
    <xf numFmtId="0" fontId="14" fillId="0" borderId="12" xfId="0" applyFont="1" applyBorder="1"/>
    <xf numFmtId="1" fontId="14" fillId="0" borderId="12" xfId="0" applyNumberFormat="1" applyFont="1" applyBorder="1" applyAlignment="1">
      <alignment horizontal="center"/>
    </xf>
    <xf numFmtId="1" fontId="14" fillId="3" borderId="12" xfId="0" applyNumberFormat="1" applyFont="1" applyFill="1" applyBorder="1" applyAlignment="1">
      <alignment horizontal="center"/>
    </xf>
    <xf numFmtId="1" fontId="14" fillId="6" borderId="12" xfId="0" applyNumberFormat="1" applyFont="1" applyFill="1" applyBorder="1" applyAlignment="1">
      <alignment horizontal="center"/>
    </xf>
    <xf numFmtId="2" fontId="14" fillId="6" borderId="12" xfId="0" applyNumberFormat="1" applyFont="1" applyFill="1" applyBorder="1"/>
    <xf numFmtId="1" fontId="28" fillId="6" borderId="12" xfId="0" applyNumberFormat="1" applyFont="1" applyFill="1" applyBorder="1" applyAlignment="1">
      <alignment horizontal="center"/>
    </xf>
    <xf numFmtId="1" fontId="28" fillId="3" borderId="12" xfId="0" applyNumberFormat="1" applyFont="1" applyFill="1" applyBorder="1" applyAlignment="1">
      <alignment horizontal="center"/>
    </xf>
    <xf numFmtId="0" fontId="14" fillId="3" borderId="0" xfId="0" applyFont="1" applyFill="1"/>
    <xf numFmtId="2" fontId="14" fillId="3" borderId="12" xfId="0" applyNumberFormat="1" applyFont="1" applyFill="1" applyBorder="1"/>
    <xf numFmtId="2" fontId="14" fillId="0" borderId="12" xfId="0" applyNumberFormat="1" applyFont="1" applyBorder="1"/>
    <xf numFmtId="0" fontId="19" fillId="3" borderId="12" xfId="0" applyFont="1" applyFill="1" applyBorder="1"/>
    <xf numFmtId="0" fontId="19" fillId="0" borderId="12" xfId="0" applyFont="1" applyBorder="1" applyAlignment="1">
      <alignment horizontal="center"/>
    </xf>
    <xf numFmtId="0" fontId="0" fillId="0" borderId="0" xfId="0" applyAlignment="1">
      <alignment horizontal="center"/>
    </xf>
    <xf numFmtId="2" fontId="14" fillId="0" borderId="0" xfId="0" applyNumberFormat="1" applyFont="1"/>
    <xf numFmtId="0" fontId="21" fillId="0" borderId="0" xfId="0" applyFont="1"/>
    <xf numFmtId="2" fontId="14" fillId="3" borderId="0" xfId="0" applyNumberFormat="1" applyFont="1" applyFill="1"/>
    <xf numFmtId="0" fontId="0" fillId="6" borderId="0" xfId="0" applyFill="1" applyAlignment="1">
      <alignment horizontal="center" vertical="center"/>
    </xf>
    <xf numFmtId="2" fontId="27" fillId="6" borderId="12" xfId="0" applyNumberFormat="1" applyFont="1" applyFill="1" applyBorder="1"/>
    <xf numFmtId="0" fontId="0" fillId="5" borderId="25" xfId="0" applyFill="1" applyBorder="1"/>
    <xf numFmtId="2" fontId="2" fillId="4" borderId="19" xfId="0" applyNumberFormat="1" applyFont="1" applyFill="1" applyBorder="1"/>
    <xf numFmtId="1" fontId="0" fillId="12" borderId="56" xfId="0" applyNumberFormat="1" applyFill="1" applyBorder="1" applyAlignment="1">
      <alignment horizontal="center"/>
    </xf>
    <xf numFmtId="0" fontId="6" fillId="0" borderId="69" xfId="0" applyFont="1" applyBorder="1"/>
    <xf numFmtId="1" fontId="0" fillId="8" borderId="56" xfId="0" applyNumberFormat="1" applyFill="1" applyBorder="1" applyAlignment="1">
      <alignment horizontal="center"/>
    </xf>
    <xf numFmtId="1" fontId="0" fillId="7" borderId="69" xfId="0" applyNumberFormat="1" applyFill="1" applyBorder="1" applyAlignment="1">
      <alignment horizontal="center"/>
    </xf>
    <xf numFmtId="2" fontId="0" fillId="8" borderId="69" xfId="0" applyNumberFormat="1" applyFill="1" applyBorder="1" applyAlignment="1">
      <alignment horizontal="center"/>
    </xf>
    <xf numFmtId="2" fontId="0" fillId="0" borderId="0" xfId="0" applyNumberFormat="1" applyAlignment="1">
      <alignment horizontal="center"/>
    </xf>
    <xf numFmtId="2" fontId="18" fillId="3" borderId="20" xfId="0" applyNumberFormat="1" applyFont="1" applyFill="1" applyBorder="1"/>
    <xf numFmtId="0" fontId="6" fillId="0" borderId="12" xfId="0" applyFont="1" applyBorder="1" applyAlignment="1">
      <alignment horizontal="center"/>
    </xf>
    <xf numFmtId="0" fontId="6" fillId="0" borderId="23" xfId="0" applyFont="1" applyBorder="1" applyAlignment="1">
      <alignment horizontal="center"/>
    </xf>
    <xf numFmtId="14" fontId="2" fillId="6" borderId="66" xfId="0" applyNumberFormat="1" applyFont="1" applyFill="1" applyBorder="1" applyAlignment="1">
      <alignment horizontal="center" vertical="center"/>
    </xf>
    <xf numFmtId="0" fontId="2" fillId="0" borderId="12" xfId="0" applyFont="1" applyBorder="1"/>
    <xf numFmtId="2" fontId="2" fillId="3" borderId="12" xfId="0" applyNumberFormat="1" applyFont="1" applyFill="1" applyBorder="1"/>
    <xf numFmtId="9" fontId="2" fillId="0" borderId="12" xfId="0" applyNumberFormat="1" applyFont="1" applyBorder="1"/>
    <xf numFmtId="2" fontId="2" fillId="2" borderId="12" xfId="0" applyNumberFormat="1" applyFont="1" applyFill="1" applyBorder="1"/>
    <xf numFmtId="2" fontId="2" fillId="13" borderId="12" xfId="0" applyNumberFormat="1" applyFont="1" applyFill="1" applyBorder="1" applyAlignment="1">
      <alignment horizontal="right"/>
    </xf>
    <xf numFmtId="0" fontId="2" fillId="0" borderId="9" xfId="0" applyFont="1" applyBorder="1"/>
    <xf numFmtId="2" fontId="2" fillId="2" borderId="21" xfId="0" applyNumberFormat="1" applyFont="1" applyFill="1" applyBorder="1"/>
    <xf numFmtId="9" fontId="2" fillId="0" borderId="27" xfId="0" applyNumberFormat="1" applyFont="1" applyBorder="1"/>
    <xf numFmtId="2" fontId="2" fillId="2" borderId="27" xfId="0" applyNumberFormat="1" applyFont="1" applyFill="1" applyBorder="1"/>
    <xf numFmtId="2" fontId="2" fillId="2" borderId="3" xfId="0" applyNumberFormat="1" applyFont="1" applyFill="1" applyBorder="1" applyAlignment="1">
      <alignment horizontal="right"/>
    </xf>
    <xf numFmtId="0" fontId="0" fillId="5" borderId="73" xfId="0" applyFill="1" applyBorder="1" applyAlignment="1">
      <alignment horizontal="center" vertical="center" wrapText="1"/>
    </xf>
    <xf numFmtId="2" fontId="2" fillId="5" borderId="74" xfId="0" applyNumberFormat="1" applyFont="1" applyFill="1" applyBorder="1" applyAlignment="1">
      <alignment horizontal="center" vertical="center"/>
    </xf>
    <xf numFmtId="0" fontId="2" fillId="6" borderId="73" xfId="0" applyFont="1" applyFill="1" applyBorder="1" applyAlignment="1">
      <alignment horizontal="center" vertical="center"/>
    </xf>
    <xf numFmtId="0" fontId="5" fillId="6" borderId="74" xfId="0" applyFont="1" applyFill="1" applyBorder="1" applyAlignment="1">
      <alignment horizontal="center" vertical="center"/>
    </xf>
    <xf numFmtId="0" fontId="0" fillId="6" borderId="73" xfId="0" applyFill="1" applyBorder="1" applyAlignment="1">
      <alignment horizontal="center" vertical="center" wrapText="1"/>
    </xf>
    <xf numFmtId="0" fontId="19" fillId="6" borderId="74" xfId="0" applyFont="1" applyFill="1" applyBorder="1" applyAlignment="1">
      <alignment horizontal="center" vertical="center" wrapText="1"/>
    </xf>
    <xf numFmtId="0" fontId="0" fillId="6" borderId="73" xfId="0" applyFill="1" applyBorder="1" applyAlignment="1">
      <alignment horizontal="center"/>
    </xf>
    <xf numFmtId="1" fontId="0" fillId="6" borderId="74" xfId="0" applyNumberFormat="1" applyFill="1" applyBorder="1" applyAlignment="1">
      <alignment horizontal="center"/>
    </xf>
    <xf numFmtId="0" fontId="0" fillId="6" borderId="75" xfId="0" applyFill="1" applyBorder="1" applyAlignment="1">
      <alignment horizontal="center"/>
    </xf>
    <xf numFmtId="1" fontId="0" fillId="6" borderId="76" xfId="0" applyNumberFormat="1" applyFill="1" applyBorder="1" applyAlignment="1">
      <alignment horizontal="center"/>
    </xf>
    <xf numFmtId="0" fontId="12" fillId="7" borderId="79" xfId="0" applyFont="1" applyFill="1" applyBorder="1" applyAlignment="1">
      <alignment horizontal="center"/>
    </xf>
    <xf numFmtId="1" fontId="5" fillId="7" borderId="69" xfId="0" applyNumberFormat="1" applyFont="1" applyFill="1" applyBorder="1" applyAlignment="1">
      <alignment horizontal="center"/>
    </xf>
    <xf numFmtId="0" fontId="12" fillId="8" borderId="80" xfId="0" applyFont="1" applyFill="1" applyBorder="1" applyAlignment="1">
      <alignment horizontal="center"/>
    </xf>
    <xf numFmtId="1" fontId="7" fillId="8" borderId="81" xfId="0" applyNumberFormat="1" applyFont="1" applyFill="1" applyBorder="1" applyAlignment="1">
      <alignment horizontal="center"/>
    </xf>
    <xf numFmtId="0" fontId="12" fillId="8" borderId="82" xfId="0" applyFont="1" applyFill="1" applyBorder="1" applyAlignment="1">
      <alignment horizontal="center"/>
    </xf>
    <xf numFmtId="1" fontId="7" fillId="8" borderId="71" xfId="0" applyNumberFormat="1" applyFont="1" applyFill="1" applyBorder="1" applyAlignment="1">
      <alignment horizontal="center"/>
    </xf>
    <xf numFmtId="0" fontId="0" fillId="0" borderId="75" xfId="0" applyBorder="1" applyAlignment="1">
      <alignment horizontal="center"/>
    </xf>
    <xf numFmtId="2" fontId="0" fillId="0" borderId="76" xfId="0" applyNumberFormat="1" applyBorder="1" applyAlignment="1">
      <alignment horizontal="center"/>
    </xf>
    <xf numFmtId="0" fontId="0" fillId="7" borderId="84" xfId="0" applyFill="1" applyBorder="1" applyAlignment="1">
      <alignment horizontal="center"/>
    </xf>
    <xf numFmtId="1" fontId="5" fillId="7" borderId="85" xfId="0" applyNumberFormat="1" applyFont="1" applyFill="1" applyBorder="1" applyAlignment="1">
      <alignment horizontal="center"/>
    </xf>
    <xf numFmtId="0" fontId="0" fillId="8" borderId="86" xfId="0" applyFill="1" applyBorder="1" applyAlignment="1">
      <alignment horizontal="center"/>
    </xf>
    <xf numFmtId="1" fontId="7" fillId="8" borderId="87" xfId="0" applyNumberFormat="1" applyFont="1" applyFill="1" applyBorder="1" applyAlignment="1">
      <alignment horizontal="center"/>
    </xf>
    <xf numFmtId="0" fontId="5" fillId="0" borderId="77" xfId="0" applyFont="1" applyBorder="1" applyAlignment="1">
      <alignment horizontal="center"/>
    </xf>
    <xf numFmtId="0" fontId="5" fillId="0" borderId="78" xfId="0" applyFont="1" applyBorder="1" applyAlignment="1">
      <alignment horizontal="center"/>
    </xf>
    <xf numFmtId="0" fontId="6" fillId="6" borderId="68" xfId="0" applyFont="1" applyFill="1" applyBorder="1" applyAlignment="1">
      <alignment horizontal="center"/>
    </xf>
    <xf numFmtId="0" fontId="6" fillId="6" borderId="83" xfId="0" applyFont="1" applyFill="1" applyBorder="1" applyAlignment="1">
      <alignment horizontal="center"/>
    </xf>
    <xf numFmtId="0" fontId="12" fillId="11" borderId="61" xfId="0" applyFont="1" applyFill="1" applyBorder="1" applyAlignment="1">
      <alignment horizontal="center"/>
    </xf>
    <xf numFmtId="1" fontId="7" fillId="11" borderId="63" xfId="0" applyNumberFormat="1" applyFont="1" applyFill="1" applyBorder="1" applyAlignment="1">
      <alignment horizontal="center"/>
    </xf>
    <xf numFmtId="0" fontId="0" fillId="12" borderId="75" xfId="0" applyFill="1" applyBorder="1" applyAlignment="1">
      <alignment horizontal="center"/>
    </xf>
    <xf numFmtId="2" fontId="6" fillId="12" borderId="76" xfId="0" applyNumberFormat="1" applyFont="1" applyFill="1" applyBorder="1" applyAlignment="1">
      <alignment horizontal="center"/>
    </xf>
    <xf numFmtId="9" fontId="0" fillId="0" borderId="0" xfId="0" applyNumberFormat="1" applyAlignment="1">
      <alignment horizontal="center"/>
    </xf>
    <xf numFmtId="9" fontId="0" fillId="0" borderId="15" xfId="0" applyNumberFormat="1" applyBorder="1" applyAlignment="1">
      <alignment horizontal="center"/>
    </xf>
    <xf numFmtId="1" fontId="2" fillId="0" borderId="12" xfId="0" applyNumberFormat="1" applyFont="1" applyBorder="1" applyAlignment="1">
      <alignment horizontal="center" vertical="center"/>
    </xf>
    <xf numFmtId="9" fontId="1" fillId="0" borderId="2" xfId="0" applyNumberFormat="1" applyFont="1" applyBorder="1" applyAlignment="1">
      <alignment horizontal="center" vertical="center"/>
    </xf>
    <xf numFmtId="9" fontId="1" fillId="0" borderId="1" xfId="0" applyNumberFormat="1" applyFont="1" applyBorder="1" applyAlignment="1">
      <alignment horizontal="center" vertical="center"/>
    </xf>
    <xf numFmtId="0" fontId="0" fillId="0" borderId="59" xfId="0" applyBorder="1"/>
    <xf numFmtId="2" fontId="1" fillId="0" borderId="56" xfId="0" applyNumberFormat="1" applyFont="1" applyBorder="1"/>
    <xf numFmtId="2" fontId="1" fillId="0" borderId="63" xfId="0" applyNumberFormat="1" applyFont="1" applyBorder="1"/>
    <xf numFmtId="2" fontId="0" fillId="0" borderId="63" xfId="0" applyNumberFormat="1" applyBorder="1"/>
    <xf numFmtId="2" fontId="0" fillId="0" borderId="58" xfId="0" applyNumberFormat="1" applyBorder="1"/>
    <xf numFmtId="2" fontId="0" fillId="0" borderId="59" xfId="0" applyNumberFormat="1" applyBorder="1"/>
    <xf numFmtId="0" fontId="2" fillId="0" borderId="60" xfId="0" applyFont="1" applyBorder="1"/>
    <xf numFmtId="9" fontId="2" fillId="0" borderId="58" xfId="0" applyNumberFormat="1" applyFont="1" applyBorder="1"/>
    <xf numFmtId="0" fontId="2" fillId="0" borderId="73" xfId="0" applyFont="1" applyBorder="1"/>
    <xf numFmtId="9" fontId="2" fillId="0" borderId="74" xfId="0" applyNumberFormat="1" applyFont="1" applyBorder="1"/>
    <xf numFmtId="0" fontId="2" fillId="0" borderId="89" xfId="0" applyFont="1" applyBorder="1" applyAlignment="1">
      <alignment horizontal="center"/>
    </xf>
    <xf numFmtId="0" fontId="6" fillId="0" borderId="61" xfId="0" applyFont="1" applyBorder="1" applyAlignment="1">
      <alignment horizontal="center"/>
    </xf>
    <xf numFmtId="1" fontId="0" fillId="7" borderId="92" xfId="0" applyNumberFormat="1" applyFill="1" applyBorder="1" applyAlignment="1">
      <alignment horizontal="center"/>
    </xf>
    <xf numFmtId="0" fontId="0" fillId="8" borderId="69" xfId="0" applyFill="1" applyBorder="1" applyAlignment="1">
      <alignment horizontal="center"/>
    </xf>
    <xf numFmtId="0" fontId="0" fillId="14" borderId="73" xfId="0" applyFill="1" applyBorder="1" applyAlignment="1">
      <alignment horizontal="center" vertical="center" wrapText="1"/>
    </xf>
    <xf numFmtId="2" fontId="5" fillId="14" borderId="74" xfId="0" applyNumberFormat="1" applyFont="1" applyFill="1" applyBorder="1" applyAlignment="1">
      <alignment horizontal="center" vertical="center"/>
    </xf>
    <xf numFmtId="0" fontId="13" fillId="8" borderId="92" xfId="0" applyFont="1" applyFill="1" applyBorder="1" applyAlignment="1">
      <alignment horizontal="center"/>
    </xf>
    <xf numFmtId="1" fontId="13" fillId="8" borderId="87" xfId="0" applyNumberFormat="1" applyFont="1" applyFill="1" applyBorder="1" applyAlignment="1">
      <alignment horizontal="center"/>
    </xf>
    <xf numFmtId="1" fontId="13" fillId="8" borderId="81" xfId="0" applyNumberFormat="1" applyFont="1" applyFill="1" applyBorder="1" applyAlignment="1">
      <alignment horizontal="center"/>
    </xf>
    <xf numFmtId="2" fontId="2" fillId="2" borderId="12" xfId="0" applyNumberFormat="1" applyFont="1" applyFill="1" applyBorder="1" applyAlignment="1">
      <alignment horizontal="right"/>
    </xf>
    <xf numFmtId="9" fontId="2" fillId="0" borderId="9" xfId="0" applyNumberFormat="1" applyFont="1" applyBorder="1"/>
    <xf numFmtId="2" fontId="2" fillId="13" borderId="15" xfId="0" applyNumberFormat="1" applyFont="1" applyFill="1" applyBorder="1" applyAlignment="1">
      <alignment horizontal="right"/>
    </xf>
    <xf numFmtId="0" fontId="2" fillId="6" borderId="25" xfId="0" applyFont="1" applyFill="1" applyBorder="1" applyAlignment="1">
      <alignment horizontal="center" vertical="center"/>
    </xf>
    <xf numFmtId="0" fontId="2" fillId="6" borderId="14" xfId="0" applyFont="1" applyFill="1" applyBorder="1" applyAlignment="1">
      <alignment horizontal="center" vertical="center"/>
    </xf>
    <xf numFmtId="9" fontId="1" fillId="0" borderId="20" xfId="0" applyNumberFormat="1" applyFont="1" applyBorder="1" applyAlignment="1">
      <alignment horizontal="center" vertical="center"/>
    </xf>
    <xf numFmtId="9" fontId="1" fillId="0" borderId="15" xfId="0" applyNumberFormat="1" applyFont="1" applyBorder="1" applyAlignment="1">
      <alignment horizontal="center" vertical="center"/>
    </xf>
    <xf numFmtId="1" fontId="2" fillId="0" borderId="24" xfId="0" applyNumberFormat="1" applyFont="1" applyBorder="1" applyAlignment="1">
      <alignment horizontal="center" vertical="center"/>
    </xf>
    <xf numFmtId="9" fontId="1" fillId="0" borderId="0" xfId="0" applyNumberFormat="1" applyFont="1" applyAlignment="1">
      <alignment horizontal="center" vertical="center"/>
    </xf>
    <xf numFmtId="9" fontId="1" fillId="0" borderId="11" xfId="0" applyNumberFormat="1" applyFont="1" applyBorder="1" applyAlignment="1">
      <alignment horizontal="center" vertical="center"/>
    </xf>
    <xf numFmtId="9" fontId="1" fillId="0" borderId="13" xfId="0" applyNumberFormat="1" applyFont="1" applyBorder="1" applyAlignment="1">
      <alignment horizontal="center" vertical="center"/>
    </xf>
    <xf numFmtId="9" fontId="1" fillId="0" borderId="28" xfId="0" applyNumberFormat="1" applyFont="1" applyBorder="1" applyAlignment="1">
      <alignment horizontal="center" vertical="center"/>
    </xf>
    <xf numFmtId="0" fontId="15" fillId="0" borderId="42" xfId="1" applyFont="1" applyBorder="1" applyAlignment="1">
      <alignment vertical="center" wrapText="1"/>
    </xf>
    <xf numFmtId="0" fontId="15" fillId="0" borderId="43" xfId="1" applyFont="1" applyBorder="1" applyAlignment="1">
      <alignment vertical="center" wrapText="1"/>
    </xf>
    <xf numFmtId="0" fontId="15" fillId="6" borderId="43" xfId="1" applyFont="1" applyFill="1" applyBorder="1" applyAlignment="1">
      <alignment vertical="center" wrapText="1"/>
    </xf>
    <xf numFmtId="0" fontId="2" fillId="0" borderId="42" xfId="0" applyFont="1" applyBorder="1"/>
    <xf numFmtId="1" fontId="0" fillId="0" borderId="76" xfId="0" applyNumberFormat="1" applyBorder="1" applyAlignment="1">
      <alignment horizontal="center"/>
    </xf>
    <xf numFmtId="0" fontId="2" fillId="0" borderId="89" xfId="0" applyFont="1" applyBorder="1"/>
    <xf numFmtId="14" fontId="2" fillId="6" borderId="94" xfId="0" applyNumberFormat="1" applyFont="1" applyFill="1" applyBorder="1" applyAlignment="1">
      <alignment horizontal="center" vertical="center"/>
    </xf>
    <xf numFmtId="0" fontId="0" fillId="0" borderId="61" xfId="0" applyBorder="1" applyAlignment="1">
      <alignment horizontal="center" vertical="center"/>
    </xf>
    <xf numFmtId="2" fontId="1" fillId="0" borderId="7" xfId="0" applyNumberFormat="1" applyFont="1" applyBorder="1"/>
    <xf numFmtId="2" fontId="1" fillId="0" borderId="0" xfId="0" applyNumberFormat="1" applyFont="1"/>
    <xf numFmtId="2" fontId="0" fillId="0" borderId="9" xfId="0" applyNumberFormat="1" applyBorder="1"/>
    <xf numFmtId="2" fontId="0" fillId="0" borderId="11" xfId="0" applyNumberFormat="1" applyBorder="1"/>
    <xf numFmtId="9" fontId="2" fillId="0" borderId="24" xfId="0" applyNumberFormat="1" applyFont="1" applyBorder="1"/>
    <xf numFmtId="1" fontId="0" fillId="0" borderId="11" xfId="0" applyNumberFormat="1" applyBorder="1"/>
    <xf numFmtId="9" fontId="6" fillId="0" borderId="12" xfId="0" applyNumberFormat="1" applyFont="1" applyBorder="1" applyAlignment="1">
      <alignment horizontal="center" wrapText="1"/>
    </xf>
    <xf numFmtId="1" fontId="2" fillId="0" borderId="24" xfId="0" applyNumberFormat="1" applyFont="1" applyBorder="1" applyAlignment="1">
      <alignment horizontal="center" vertical="center" wrapText="1"/>
    </xf>
    <xf numFmtId="2" fontId="0" fillId="13" borderId="12" xfId="0" applyNumberFormat="1" applyFill="1" applyBorder="1"/>
    <xf numFmtId="1" fontId="13" fillId="8" borderId="71" xfId="0" applyNumberFormat="1" applyFont="1" applyFill="1" applyBorder="1" applyAlignment="1">
      <alignment horizontal="center"/>
    </xf>
    <xf numFmtId="1" fontId="17" fillId="8" borderId="92" xfId="0" applyNumberFormat="1" applyFont="1" applyFill="1" applyBorder="1" applyAlignment="1">
      <alignment horizontal="center"/>
    </xf>
    <xf numFmtId="1" fontId="0" fillId="8" borderId="69" xfId="0" applyNumberFormat="1" applyFill="1" applyBorder="1" applyAlignment="1">
      <alignment horizontal="center"/>
    </xf>
    <xf numFmtId="164" fontId="0" fillId="0" borderId="59" xfId="0" applyNumberFormat="1" applyBorder="1"/>
    <xf numFmtId="9" fontId="0" fillId="0" borderId="74" xfId="0" applyNumberFormat="1" applyBorder="1"/>
    <xf numFmtId="14" fontId="2" fillId="6" borderId="0" xfId="0" applyNumberFormat="1" applyFont="1" applyFill="1" applyAlignment="1">
      <alignment horizontal="center" vertical="center"/>
    </xf>
    <xf numFmtId="1" fontId="7" fillId="11" borderId="95" xfId="0" applyNumberFormat="1" applyFont="1" applyFill="1" applyBorder="1" applyAlignment="1">
      <alignment horizontal="center"/>
    </xf>
    <xf numFmtId="0" fontId="6" fillId="0" borderId="12" xfId="0" applyFont="1" applyBorder="1" applyAlignment="1">
      <alignment horizontal="center" wrapText="1"/>
    </xf>
    <xf numFmtId="0" fontId="0" fillId="8" borderId="56" xfId="0" applyFill="1" applyBorder="1" applyAlignment="1">
      <alignment horizontal="center"/>
    </xf>
    <xf numFmtId="1" fontId="2" fillId="0" borderId="35" xfId="0" applyNumberFormat="1" applyFont="1" applyBorder="1" applyAlignment="1">
      <alignment horizontal="center" vertical="center"/>
    </xf>
    <xf numFmtId="1" fontId="2" fillId="0" borderId="12" xfId="0" applyNumberFormat="1" applyFont="1" applyBorder="1" applyAlignment="1">
      <alignment horizontal="center" vertical="center" wrapText="1"/>
    </xf>
    <xf numFmtId="1" fontId="2" fillId="0" borderId="23" xfId="0" applyNumberFormat="1" applyFont="1" applyBorder="1" applyAlignment="1">
      <alignment horizontal="center" vertical="center" wrapText="1"/>
    </xf>
    <xf numFmtId="9" fontId="0" fillId="3" borderId="74" xfId="0" applyNumberFormat="1" applyFill="1" applyBorder="1"/>
    <xf numFmtId="0" fontId="0" fillId="0" borderId="11" xfId="0" applyBorder="1"/>
    <xf numFmtId="0" fontId="4" fillId="0" borderId="61" xfId="0" applyFont="1" applyBorder="1"/>
    <xf numFmtId="1" fontId="33" fillId="3" borderId="74" xfId="0" applyNumberFormat="1" applyFont="1" applyFill="1" applyBorder="1" applyAlignment="1">
      <alignment horizontal="center"/>
    </xf>
    <xf numFmtId="1" fontId="0" fillId="0" borderId="0" xfId="0" applyNumberFormat="1" applyAlignment="1">
      <alignment horizontal="center" vertical="center"/>
    </xf>
    <xf numFmtId="0" fontId="6" fillId="0" borderId="70" xfId="0" applyFont="1" applyBorder="1"/>
    <xf numFmtId="1" fontId="18" fillId="7" borderId="74" xfId="0" applyNumberFormat="1" applyFont="1" applyFill="1" applyBorder="1" applyAlignment="1">
      <alignment horizontal="center"/>
    </xf>
    <xf numFmtId="0" fontId="0" fillId="8" borderId="74" xfId="0" applyFill="1" applyBorder="1" applyAlignment="1">
      <alignment horizontal="center"/>
    </xf>
    <xf numFmtId="2" fontId="5" fillId="0" borderId="21" xfId="0" applyNumberFormat="1" applyFont="1" applyBorder="1"/>
    <xf numFmtId="1" fontId="12" fillId="12" borderId="12" xfId="0" applyNumberFormat="1" applyFont="1" applyFill="1" applyBorder="1" applyAlignment="1">
      <alignment horizontal="center"/>
    </xf>
    <xf numFmtId="2" fontId="7" fillId="12" borderId="76" xfId="0" applyNumberFormat="1" applyFont="1" applyFill="1" applyBorder="1" applyAlignment="1">
      <alignment horizontal="center"/>
    </xf>
    <xf numFmtId="1" fontId="18" fillId="12" borderId="56" xfId="0" applyNumberFormat="1" applyFont="1" applyFill="1" applyBorder="1" applyAlignment="1">
      <alignment horizontal="center"/>
    </xf>
    <xf numFmtId="2" fontId="18" fillId="13" borderId="12" xfId="0" applyNumberFormat="1" applyFont="1" applyFill="1" applyBorder="1"/>
    <xf numFmtId="2" fontId="0" fillId="3" borderId="0" xfId="0" applyNumberFormat="1" applyFill="1"/>
    <xf numFmtId="2" fontId="5" fillId="5" borderId="74" xfId="0" applyNumberFormat="1" applyFont="1" applyFill="1" applyBorder="1" applyAlignment="1">
      <alignment horizontal="center" vertical="center"/>
    </xf>
    <xf numFmtId="0" fontId="3" fillId="3" borderId="20" xfId="1" applyFill="1" applyBorder="1" applyAlignment="1">
      <alignment vertical="center" wrapText="1"/>
    </xf>
    <xf numFmtId="0" fontId="8" fillId="0" borderId="0" xfId="0" applyFont="1" applyAlignment="1">
      <alignment horizontal="center"/>
    </xf>
    <xf numFmtId="9" fontId="0" fillId="3" borderId="0" xfId="0" applyNumberFormat="1" applyFill="1"/>
    <xf numFmtId="0" fontId="0" fillId="3" borderId="0" xfId="0" applyFill="1" applyAlignment="1">
      <alignment horizontal="right"/>
    </xf>
    <xf numFmtId="2" fontId="2" fillId="9" borderId="98" xfId="0" applyNumberFormat="1" applyFont="1" applyFill="1" applyBorder="1"/>
    <xf numFmtId="0" fontId="2" fillId="0" borderId="98" xfId="0" applyFont="1" applyBorder="1"/>
    <xf numFmtId="2" fontId="2" fillId="9" borderId="99" xfId="0" applyNumberFormat="1" applyFont="1" applyFill="1" applyBorder="1"/>
    <xf numFmtId="2" fontId="2" fillId="4" borderId="100" xfId="0" applyNumberFormat="1" applyFont="1" applyFill="1" applyBorder="1" applyAlignment="1">
      <alignment horizontal="right"/>
    </xf>
    <xf numFmtId="2" fontId="1" fillId="0" borderId="101" xfId="0" applyNumberFormat="1" applyFont="1" applyBorder="1"/>
    <xf numFmtId="0" fontId="0" fillId="10" borderId="0" xfId="0" applyFill="1"/>
    <xf numFmtId="2" fontId="0" fillId="0" borderId="0" xfId="0" applyNumberFormat="1" applyAlignment="1">
      <alignment horizontal="right"/>
    </xf>
    <xf numFmtId="2" fontId="0" fillId="10" borderId="0" xfId="0" applyNumberFormat="1" applyFill="1"/>
    <xf numFmtId="2" fontId="17" fillId="10" borderId="0" xfId="0" applyNumberFormat="1" applyFont="1" applyFill="1"/>
    <xf numFmtId="0" fontId="0" fillId="0" borderId="0" xfId="0" applyAlignment="1">
      <alignment horizontal="right" wrapText="1"/>
    </xf>
    <xf numFmtId="165" fontId="0" fillId="0" borderId="0" xfId="0" applyNumberFormat="1" applyAlignment="1">
      <alignment horizontal="center"/>
    </xf>
    <xf numFmtId="0" fontId="0" fillId="0" borderId="102" xfId="0" applyBorder="1"/>
    <xf numFmtId="1" fontId="0" fillId="8" borderId="6" xfId="0" applyNumberFormat="1" applyFill="1" applyBorder="1" applyAlignment="1">
      <alignment horizontal="center" wrapText="1"/>
    </xf>
    <xf numFmtId="1" fontId="0" fillId="0" borderId="59" xfId="0" applyNumberFormat="1" applyBorder="1"/>
    <xf numFmtId="0" fontId="0" fillId="3" borderId="0" xfId="0" applyFill="1" applyAlignment="1">
      <alignment wrapText="1"/>
    </xf>
    <xf numFmtId="2" fontId="0" fillId="3" borderId="0" xfId="0" applyNumberFormat="1" applyFill="1" applyAlignment="1">
      <alignment horizontal="right"/>
    </xf>
    <xf numFmtId="9" fontId="0" fillId="0" borderId="20" xfId="0" applyNumberFormat="1" applyBorder="1" applyAlignment="1">
      <alignment horizontal="center"/>
    </xf>
    <xf numFmtId="0" fontId="0" fillId="0" borderId="26" xfId="0" applyBorder="1" applyAlignment="1">
      <alignment horizontal="right"/>
    </xf>
    <xf numFmtId="0" fontId="0" fillId="0" borderId="26" xfId="0" applyBorder="1"/>
    <xf numFmtId="2" fontId="0" fillId="0" borderId="26" xfId="0" applyNumberFormat="1" applyBorder="1"/>
    <xf numFmtId="0" fontId="18" fillId="0" borderId="0" xfId="0" applyFont="1" applyAlignment="1">
      <alignment horizontal="right"/>
    </xf>
    <xf numFmtId="0" fontId="0" fillId="0" borderId="24" xfId="0" applyBorder="1" applyAlignment="1">
      <alignment horizontal="center"/>
    </xf>
    <xf numFmtId="0" fontId="0" fillId="0" borderId="12" xfId="0" applyBorder="1" applyAlignment="1">
      <alignment horizontal="center"/>
    </xf>
    <xf numFmtId="0" fontId="0" fillId="0" borderId="15" xfId="0" applyBorder="1" applyAlignment="1">
      <alignment horizontal="center"/>
    </xf>
    <xf numFmtId="0" fontId="9" fillId="0" borderId="12" xfId="0" applyFont="1" applyBorder="1"/>
    <xf numFmtId="0" fontId="0" fillId="0" borderId="50" xfId="0" applyBorder="1"/>
    <xf numFmtId="0" fontId="0" fillId="0" borderId="24" xfId="0" applyBorder="1"/>
    <xf numFmtId="0" fontId="0" fillId="10" borderId="24" xfId="0" applyFill="1" applyBorder="1"/>
    <xf numFmtId="0" fontId="32" fillId="0" borderId="0" xfId="0" applyFont="1" applyAlignment="1">
      <alignment horizontal="center"/>
    </xf>
    <xf numFmtId="0" fontId="12" fillId="3" borderId="0" xfId="0" applyFont="1" applyFill="1" applyAlignment="1">
      <alignment horizontal="center"/>
    </xf>
    <xf numFmtId="1" fontId="7" fillId="3" borderId="0" xfId="0" applyNumberFormat="1" applyFont="1" applyFill="1" applyAlignment="1">
      <alignment horizontal="center"/>
    </xf>
    <xf numFmtId="0" fontId="0" fillId="3" borderId="12" xfId="0" applyFill="1" applyBorder="1" applyAlignment="1">
      <alignment horizontal="center" vertical="center" wrapText="1"/>
    </xf>
    <xf numFmtId="2" fontId="5" fillId="3" borderId="12" xfId="0" applyNumberFormat="1" applyFont="1" applyFill="1" applyBorder="1" applyAlignment="1">
      <alignment horizontal="center" vertical="center"/>
    </xf>
    <xf numFmtId="2" fontId="2" fillId="3" borderId="12" xfId="0" applyNumberFormat="1" applyFont="1" applyFill="1" applyBorder="1" applyAlignment="1">
      <alignment horizontal="center" vertical="center"/>
    </xf>
    <xf numFmtId="0" fontId="6" fillId="3" borderId="0" xfId="0" applyFont="1" applyFill="1" applyAlignment="1">
      <alignment horizontal="center" wrapText="1"/>
    </xf>
    <xf numFmtId="0" fontId="10" fillId="3" borderId="0" xfId="0" applyFont="1" applyFill="1" applyAlignment="1">
      <alignment horizontal="center" vertical="center" wrapText="1"/>
    </xf>
    <xf numFmtId="0" fontId="11" fillId="3" borderId="0" xfId="0" applyFont="1" applyFill="1" applyAlignment="1">
      <alignment horizontal="center" vertical="center" wrapText="1"/>
    </xf>
    <xf numFmtId="1" fontId="0" fillId="3" borderId="0" xfId="0" applyNumberFormat="1" applyFill="1" applyAlignment="1">
      <alignment horizontal="center"/>
    </xf>
    <xf numFmtId="1" fontId="12" fillId="3" borderId="0" xfId="0" applyNumberFormat="1" applyFont="1" applyFill="1" applyAlignment="1">
      <alignment horizontal="center"/>
    </xf>
    <xf numFmtId="0" fontId="0" fillId="13" borderId="24" xfId="0" applyFill="1" applyBorder="1" applyAlignment="1">
      <alignment horizontal="center"/>
    </xf>
    <xf numFmtId="0" fontId="0" fillId="13" borderId="24" xfId="0" applyFill="1" applyBorder="1"/>
    <xf numFmtId="0" fontId="0" fillId="13" borderId="12" xfId="0" applyFill="1" applyBorder="1"/>
    <xf numFmtId="0" fontId="0" fillId="15" borderId="12" xfId="0" applyFill="1" applyBorder="1"/>
    <xf numFmtId="0" fontId="0" fillId="15" borderId="12" xfId="0" applyFill="1" applyBorder="1" applyAlignment="1">
      <alignment horizontal="center"/>
    </xf>
    <xf numFmtId="2" fontId="18" fillId="15" borderId="12" xfId="0" applyNumberFormat="1" applyFont="1" applyFill="1" applyBorder="1" applyAlignment="1">
      <alignment horizontal="center"/>
    </xf>
    <xf numFmtId="1" fontId="18" fillId="15" borderId="12" xfId="0" applyNumberFormat="1" applyFont="1" applyFill="1" applyBorder="1" applyAlignment="1">
      <alignment horizontal="center"/>
    </xf>
    <xf numFmtId="0" fontId="12" fillId="16" borderId="12" xfId="0" applyFont="1" applyFill="1" applyBorder="1" applyAlignment="1">
      <alignment horizontal="center"/>
    </xf>
    <xf numFmtId="1" fontId="18" fillId="16" borderId="12" xfId="0" applyNumberFormat="1" applyFont="1" applyFill="1" applyBorder="1" applyAlignment="1">
      <alignment horizontal="center"/>
    </xf>
    <xf numFmtId="0" fontId="0" fillId="16" borderId="12" xfId="0" applyFill="1" applyBorder="1" applyAlignment="1">
      <alignment horizontal="center"/>
    </xf>
    <xf numFmtId="1" fontId="12" fillId="16" borderId="12" xfId="0" applyNumberFormat="1" applyFont="1" applyFill="1" applyBorder="1" applyAlignment="1">
      <alignment horizontal="center"/>
    </xf>
    <xf numFmtId="0" fontId="0" fillId="16" borderId="12" xfId="0" applyFill="1" applyBorder="1"/>
    <xf numFmtId="2" fontId="0" fillId="15" borderId="12" xfId="0" applyNumberFormat="1" applyFill="1" applyBorder="1" applyAlignment="1">
      <alignment horizontal="center"/>
    </xf>
    <xf numFmtId="0" fontId="0" fillId="15" borderId="12" xfId="0" applyFill="1" applyBorder="1" applyAlignment="1">
      <alignment horizontal="center" wrapText="1"/>
    </xf>
    <xf numFmtId="0" fontId="0" fillId="16" borderId="15" xfId="0" applyFill="1" applyBorder="1" applyAlignment="1">
      <alignment horizontal="center"/>
    </xf>
    <xf numFmtId="0" fontId="9" fillId="0" borderId="0" xfId="0" applyFont="1" applyAlignment="1">
      <alignment horizontal="center"/>
    </xf>
    <xf numFmtId="2" fontId="0" fillId="16" borderId="12" xfId="0" applyNumberFormat="1" applyFill="1" applyBorder="1" applyAlignment="1">
      <alignment horizontal="center"/>
    </xf>
    <xf numFmtId="0" fontId="0" fillId="3" borderId="0" xfId="0" applyFill="1" applyAlignment="1">
      <alignment horizontal="center"/>
    </xf>
    <xf numFmtId="2" fontId="0" fillId="13" borderId="24" xfId="0" applyNumberFormat="1" applyFill="1" applyBorder="1" applyAlignment="1">
      <alignment horizontal="center"/>
    </xf>
    <xf numFmtId="2" fontId="0" fillId="0" borderId="12" xfId="0" applyNumberFormat="1" applyBorder="1" applyAlignment="1">
      <alignment horizontal="center"/>
    </xf>
    <xf numFmtId="0" fontId="0" fillId="13" borderId="12" xfId="0" applyFill="1" applyBorder="1" applyAlignment="1">
      <alignment horizontal="center"/>
    </xf>
    <xf numFmtId="2" fontId="9" fillId="0" borderId="12" xfId="0" applyNumberFormat="1" applyFont="1" applyBorder="1" applyAlignment="1">
      <alignment horizontal="center"/>
    </xf>
    <xf numFmtId="9" fontId="0" fillId="15" borderId="12" xfId="0" applyNumberFormat="1" applyFill="1" applyBorder="1"/>
    <xf numFmtId="0" fontId="34" fillId="0" borderId="0" xfId="0" applyFont="1" applyAlignment="1">
      <alignment horizontal="center" vertical="center"/>
    </xf>
    <xf numFmtId="0" fontId="6" fillId="0" borderId="0" xfId="0" applyFont="1" applyAlignment="1">
      <alignment vertical="center"/>
    </xf>
    <xf numFmtId="0" fontId="9" fillId="0" borderId="0" xfId="0" applyFont="1"/>
    <xf numFmtId="0" fontId="27" fillId="0" borderId="12" xfId="0" applyFont="1" applyBorder="1" applyAlignment="1">
      <alignment horizontal="center"/>
    </xf>
    <xf numFmtId="0" fontId="27" fillId="3" borderId="12" xfId="0" applyFont="1" applyFill="1" applyBorder="1" applyAlignment="1">
      <alignment horizontal="center"/>
    </xf>
    <xf numFmtId="1" fontId="27" fillId="6" borderId="12" xfId="0" applyNumberFormat="1" applyFont="1" applyFill="1" applyBorder="1" applyAlignment="1">
      <alignment horizontal="center"/>
    </xf>
    <xf numFmtId="1" fontId="27" fillId="3" borderId="12" xfId="0" applyNumberFormat="1" applyFont="1" applyFill="1" applyBorder="1" applyAlignment="1">
      <alignment horizontal="center"/>
    </xf>
    <xf numFmtId="2" fontId="0" fillId="3" borderId="0" xfId="0" applyNumberFormat="1" applyFill="1" applyAlignment="1">
      <alignment horizontal="center"/>
    </xf>
    <xf numFmtId="0" fontId="0" fillId="0" borderId="0" xfId="0" applyAlignment="1">
      <alignment horizontal="center" textRotation="90"/>
    </xf>
    <xf numFmtId="2" fontId="35" fillId="3" borderId="12" xfId="0" applyNumberFormat="1" applyFont="1" applyFill="1" applyBorder="1" applyAlignment="1">
      <alignment horizontal="center" vertical="center"/>
    </xf>
    <xf numFmtId="17" fontId="20" fillId="0" borderId="6" xfId="0" applyNumberFormat="1" applyFont="1" applyBorder="1" applyAlignment="1">
      <alignment horizontal="center" vertical="center" wrapText="1"/>
    </xf>
    <xf numFmtId="0" fontId="17" fillId="16" borderId="12" xfId="0" applyFont="1" applyFill="1" applyBorder="1" applyAlignment="1">
      <alignment horizontal="center"/>
    </xf>
    <xf numFmtId="9" fontId="0" fillId="0" borderId="12" xfId="0" applyNumberFormat="1" applyBorder="1" applyAlignment="1">
      <alignment horizontal="center"/>
    </xf>
    <xf numFmtId="0" fontId="0" fillId="16" borderId="14" xfId="0" applyFill="1" applyBorder="1" applyAlignment="1">
      <alignment horizontal="center"/>
    </xf>
    <xf numFmtId="0" fontId="0" fillId="13" borderId="14" xfId="0" applyFill="1" applyBorder="1" applyAlignment="1">
      <alignment horizontal="center"/>
    </xf>
    <xf numFmtId="0" fontId="9" fillId="0" borderId="14" xfId="0" applyFont="1" applyBorder="1" applyAlignment="1">
      <alignment horizontal="center"/>
    </xf>
    <xf numFmtId="0" fontId="9" fillId="0" borderId="12" xfId="0" applyFont="1" applyBorder="1" applyAlignment="1">
      <alignment horizontal="center"/>
    </xf>
    <xf numFmtId="2" fontId="0" fillId="13" borderId="24" xfId="0" applyNumberFormat="1" applyFill="1" applyBorder="1"/>
    <xf numFmtId="2" fontId="0" fillId="13" borderId="50" xfId="0" applyNumberFormat="1" applyFill="1" applyBorder="1" applyAlignment="1">
      <alignment horizontal="center"/>
    </xf>
    <xf numFmtId="2" fontId="0" fillId="0" borderId="12" xfId="0" applyNumberFormat="1" applyBorder="1"/>
    <xf numFmtId="0" fontId="18" fillId="16" borderId="12" xfId="0" applyFont="1" applyFill="1" applyBorder="1" applyAlignment="1">
      <alignment horizontal="center"/>
    </xf>
    <xf numFmtId="0" fontId="0" fillId="17" borderId="0" xfId="0" applyFill="1" applyAlignment="1">
      <alignment horizontal="right"/>
    </xf>
    <xf numFmtId="0" fontId="0" fillId="17" borderId="0" xfId="0" applyFill="1"/>
    <xf numFmtId="2" fontId="0" fillId="17" borderId="0" xfId="0" applyNumberFormat="1" applyFill="1"/>
    <xf numFmtId="2" fontId="0" fillId="13" borderId="50" xfId="0" applyNumberFormat="1" applyFill="1" applyBorder="1"/>
    <xf numFmtId="0" fontId="0" fillId="13" borderId="24" xfId="0" applyFill="1" applyBorder="1" applyAlignment="1">
      <alignment horizontal="right"/>
    </xf>
    <xf numFmtId="2" fontId="3" fillId="3" borderId="13" xfId="1" applyNumberFormat="1" applyFill="1" applyBorder="1" applyAlignment="1">
      <alignment vertical="center" wrapText="1"/>
    </xf>
    <xf numFmtId="0" fontId="3" fillId="3" borderId="13" xfId="1" applyFill="1" applyBorder="1" applyAlignment="1">
      <alignment vertical="center" wrapText="1"/>
    </xf>
    <xf numFmtId="2" fontId="3" fillId="3" borderId="27" xfId="1" applyNumberFormat="1" applyFill="1" applyBorder="1" applyAlignment="1">
      <alignment vertical="center" wrapText="1"/>
    </xf>
    <xf numFmtId="2" fontId="3" fillId="3" borderId="15" xfId="1" applyNumberFormat="1" applyFill="1" applyBorder="1" applyAlignment="1">
      <alignment vertical="center" wrapText="1"/>
    </xf>
    <xf numFmtId="0" fontId="3" fillId="3" borderId="28" xfId="1" applyFill="1" applyBorder="1" applyAlignment="1">
      <alignment vertical="center" wrapText="1"/>
    </xf>
    <xf numFmtId="2" fontId="3" fillId="3" borderId="28" xfId="1" applyNumberFormat="1" applyFill="1" applyBorder="1" applyAlignment="1">
      <alignment vertical="center" wrapText="1"/>
    </xf>
    <xf numFmtId="2" fontId="0" fillId="16" borderId="15" xfId="0" applyNumberFormat="1" applyFill="1" applyBorder="1" applyAlignment="1">
      <alignment horizontal="right"/>
    </xf>
    <xf numFmtId="2" fontId="0" fillId="16" borderId="12" xfId="0" applyNumberFormat="1" applyFill="1" applyBorder="1" applyAlignment="1">
      <alignment horizontal="right"/>
    </xf>
    <xf numFmtId="0" fontId="17" fillId="0" borderId="0" xfId="0" applyFont="1"/>
    <xf numFmtId="0" fontId="36" fillId="0" borderId="0" xfId="0" applyFont="1" applyAlignment="1">
      <alignment horizontal="center"/>
    </xf>
    <xf numFmtId="0" fontId="37" fillId="0" borderId="0" xfId="0" applyFont="1"/>
    <xf numFmtId="0" fontId="20" fillId="0" borderId="0" xfId="0" applyFont="1" applyAlignment="1">
      <alignment horizontal="center"/>
    </xf>
    <xf numFmtId="164" fontId="0" fillId="15" borderId="12" xfId="0" applyNumberFormat="1" applyFill="1" applyBorder="1" applyAlignment="1">
      <alignment horizontal="center"/>
    </xf>
    <xf numFmtId="2" fontId="2" fillId="0" borderId="16" xfId="0" applyNumberFormat="1" applyFont="1" applyBorder="1"/>
    <xf numFmtId="2" fontId="2" fillId="0" borderId="27" xfId="0" applyNumberFormat="1" applyFont="1" applyBorder="1"/>
    <xf numFmtId="2" fontId="18" fillId="3" borderId="13" xfId="0" applyNumberFormat="1" applyFont="1" applyFill="1" applyBorder="1"/>
    <xf numFmtId="0" fontId="3" fillId="3" borderId="27" xfId="1" applyFill="1" applyBorder="1" applyAlignment="1">
      <alignment vertical="center" wrapText="1"/>
    </xf>
    <xf numFmtId="2" fontId="29" fillId="0" borderId="12" xfId="0" applyNumberFormat="1" applyFont="1" applyBorder="1"/>
    <xf numFmtId="0" fontId="14" fillId="0" borderId="12" xfId="0" applyFont="1" applyBorder="1" applyAlignment="1">
      <alignment horizontal="center" wrapText="1"/>
    </xf>
    <xf numFmtId="0" fontId="17" fillId="0" borderId="26" xfId="0" applyFont="1" applyBorder="1" applyAlignment="1">
      <alignment horizontal="right"/>
    </xf>
    <xf numFmtId="0" fontId="17" fillId="0" borderId="26" xfId="0" applyFont="1" applyBorder="1"/>
    <xf numFmtId="2" fontId="17" fillId="17" borderId="0" xfId="0" applyNumberFormat="1" applyFont="1" applyFill="1"/>
    <xf numFmtId="0" fontId="9" fillId="0" borderId="0" xfId="0" applyFont="1" applyAlignment="1">
      <alignment horizontal="center" wrapText="1"/>
    </xf>
    <xf numFmtId="0" fontId="9" fillId="0" borderId="0" xfId="0" applyFont="1" applyAlignment="1">
      <alignment horizontal="center" vertical="center"/>
    </xf>
    <xf numFmtId="0" fontId="0" fillId="15" borderId="0" xfId="0" applyFill="1" applyAlignment="1">
      <alignment horizontal="center"/>
    </xf>
    <xf numFmtId="0" fontId="0" fillId="15" borderId="0" xfId="0" applyFill="1"/>
    <xf numFmtId="14" fontId="0" fillId="0" borderId="0" xfId="0" applyNumberFormat="1"/>
    <xf numFmtId="0" fontId="14" fillId="0" borderId="0" xfId="0" applyFont="1" applyAlignment="1">
      <alignment horizontal="right"/>
    </xf>
    <xf numFmtId="0" fontId="11" fillId="0" borderId="0" xfId="0" applyFont="1" applyAlignment="1">
      <alignment horizontal="right"/>
    </xf>
    <xf numFmtId="0" fontId="14" fillId="14" borderId="12" xfId="0" applyFont="1" applyFill="1" applyBorder="1"/>
    <xf numFmtId="0" fontId="27" fillId="14" borderId="12" xfId="0" applyFont="1" applyFill="1" applyBorder="1" applyAlignment="1">
      <alignment horizontal="center"/>
    </xf>
    <xf numFmtId="2" fontId="27" fillId="14" borderId="12" xfId="0" applyNumberFormat="1" applyFont="1" applyFill="1" applyBorder="1"/>
    <xf numFmtId="1" fontId="14" fillId="14" borderId="12" xfId="0" applyNumberFormat="1" applyFont="1" applyFill="1" applyBorder="1" applyAlignment="1">
      <alignment horizontal="center"/>
    </xf>
    <xf numFmtId="1" fontId="28" fillId="14" borderId="12" xfId="0" applyNumberFormat="1" applyFont="1" applyFill="1" applyBorder="1" applyAlignment="1">
      <alignment horizontal="center"/>
    </xf>
    <xf numFmtId="2" fontId="14" fillId="14" borderId="12" xfId="0" applyNumberFormat="1" applyFont="1" applyFill="1" applyBorder="1"/>
    <xf numFmtId="2" fontId="28" fillId="14" borderId="12" xfId="0" applyNumberFormat="1" applyFont="1" applyFill="1" applyBorder="1"/>
    <xf numFmtId="9" fontId="29" fillId="3" borderId="12" xfId="0" applyNumberFormat="1" applyFont="1" applyFill="1" applyBorder="1" applyAlignment="1">
      <alignment horizontal="center"/>
    </xf>
    <xf numFmtId="9" fontId="29" fillId="0" borderId="12" xfId="0" applyNumberFormat="1" applyFont="1" applyBorder="1" applyAlignment="1">
      <alignment horizontal="center"/>
    </xf>
    <xf numFmtId="9" fontId="29" fillId="6" borderId="12" xfId="0" applyNumberFormat="1" applyFont="1" applyFill="1" applyBorder="1" applyAlignment="1">
      <alignment horizontal="center"/>
    </xf>
    <xf numFmtId="9" fontId="29" fillId="14" borderId="12" xfId="0" applyNumberFormat="1" applyFont="1" applyFill="1" applyBorder="1" applyAlignment="1">
      <alignment horizontal="center"/>
    </xf>
    <xf numFmtId="2" fontId="0" fillId="16" borderId="12" xfId="0" applyNumberFormat="1" applyFill="1" applyBorder="1"/>
    <xf numFmtId="9" fontId="0" fillId="3" borderId="0" xfId="0" applyNumberFormat="1" applyFill="1" applyAlignment="1">
      <alignment horizontal="center"/>
    </xf>
    <xf numFmtId="2" fontId="9" fillId="0" borderId="12" xfId="0" applyNumberFormat="1" applyFont="1" applyBorder="1"/>
    <xf numFmtId="2" fontId="0" fillId="16" borderId="15" xfId="0" applyNumberFormat="1" applyFill="1" applyBorder="1" applyAlignment="1">
      <alignment horizontal="center"/>
    </xf>
    <xf numFmtId="0" fontId="27" fillId="3" borderId="0" xfId="0" applyFont="1" applyFill="1" applyAlignment="1">
      <alignment horizontal="center"/>
    </xf>
    <xf numFmtId="2" fontId="27" fillId="3" borderId="0" xfId="0" applyNumberFormat="1" applyFont="1" applyFill="1"/>
    <xf numFmtId="2" fontId="28" fillId="3" borderId="0" xfId="0" applyNumberFormat="1" applyFont="1" applyFill="1"/>
    <xf numFmtId="1" fontId="14" fillId="3" borderId="0" xfId="0" applyNumberFormat="1" applyFont="1" applyFill="1" applyAlignment="1">
      <alignment horizontal="center"/>
    </xf>
    <xf numFmtId="0" fontId="14" fillId="3" borderId="0" xfId="0" applyFont="1" applyFill="1" applyAlignment="1">
      <alignment horizontal="center"/>
    </xf>
    <xf numFmtId="1" fontId="28" fillId="3" borderId="0" xfId="0" applyNumberFormat="1" applyFont="1" applyFill="1" applyAlignment="1">
      <alignment horizontal="center"/>
    </xf>
    <xf numFmtId="9" fontId="14" fillId="6" borderId="0" xfId="0" applyNumberFormat="1" applyFont="1" applyFill="1" applyAlignment="1">
      <alignment horizontal="center"/>
    </xf>
    <xf numFmtId="0" fontId="14" fillId="18" borderId="12" xfId="0" applyFont="1" applyFill="1" applyBorder="1"/>
    <xf numFmtId="0" fontId="27" fillId="18" borderId="12" xfId="0" applyFont="1" applyFill="1" applyBorder="1" applyAlignment="1">
      <alignment horizontal="center"/>
    </xf>
    <xf numFmtId="2" fontId="27" fillId="18" borderId="12" xfId="0" applyNumberFormat="1" applyFont="1" applyFill="1" applyBorder="1"/>
    <xf numFmtId="2" fontId="28" fillId="18" borderId="12" xfId="0" applyNumberFormat="1" applyFont="1" applyFill="1" applyBorder="1"/>
    <xf numFmtId="1" fontId="14" fillId="18" borderId="12" xfId="0" applyNumberFormat="1" applyFont="1" applyFill="1" applyBorder="1" applyAlignment="1">
      <alignment horizontal="center"/>
    </xf>
    <xf numFmtId="0" fontId="14" fillId="18" borderId="12" xfId="0" applyFont="1" applyFill="1" applyBorder="1" applyAlignment="1">
      <alignment horizontal="center"/>
    </xf>
    <xf numFmtId="1" fontId="28" fillId="18" borderId="12" xfId="0" applyNumberFormat="1" applyFont="1" applyFill="1" applyBorder="1" applyAlignment="1">
      <alignment horizontal="center"/>
    </xf>
    <xf numFmtId="9" fontId="14" fillId="18" borderId="12" xfId="0" applyNumberFormat="1" applyFont="1" applyFill="1" applyBorder="1" applyAlignment="1">
      <alignment horizontal="center"/>
    </xf>
    <xf numFmtId="2" fontId="14" fillId="18" borderId="12" xfId="0" applyNumberFormat="1" applyFont="1" applyFill="1" applyBorder="1"/>
    <xf numFmtId="0" fontId="0" fillId="0" borderId="0" xfId="0" applyAlignment="1">
      <alignment horizontal="left"/>
    </xf>
    <xf numFmtId="0" fontId="0" fillId="3" borderId="12" xfId="0" applyFill="1" applyBorder="1"/>
    <xf numFmtId="0" fontId="19" fillId="0" borderId="0" xfId="0" applyFont="1"/>
    <xf numFmtId="0" fontId="0" fillId="3" borderId="12" xfId="0" applyFill="1" applyBorder="1" applyAlignment="1">
      <alignment horizontal="left"/>
    </xf>
    <xf numFmtId="0" fontId="10" fillId="0" borderId="0" xfId="0" applyFont="1" applyAlignment="1">
      <alignment horizontal="right"/>
    </xf>
    <xf numFmtId="2" fontId="39" fillId="0" borderId="0" xfId="0" applyNumberFormat="1" applyFont="1"/>
    <xf numFmtId="0" fontId="0" fillId="0" borderId="12" xfId="0" applyBorder="1" applyAlignment="1">
      <alignment horizontal="left"/>
    </xf>
    <xf numFmtId="9" fontId="0" fillId="3" borderId="14" xfId="0" applyNumberFormat="1" applyFill="1" applyBorder="1"/>
    <xf numFmtId="0" fontId="0" fillId="3" borderId="14" xfId="0" applyFill="1" applyBorder="1" applyAlignment="1">
      <alignment horizontal="left"/>
    </xf>
    <xf numFmtId="0" fontId="0" fillId="3" borderId="14" xfId="0" applyFill="1" applyBorder="1"/>
    <xf numFmtId="2" fontId="0" fillId="13" borderId="35" xfId="0" applyNumberFormat="1" applyFill="1" applyBorder="1"/>
    <xf numFmtId="2" fontId="0" fillId="16" borderId="14" xfId="0" applyNumberFormat="1" applyFill="1" applyBorder="1" applyAlignment="1">
      <alignment horizontal="center"/>
    </xf>
    <xf numFmtId="0" fontId="40" fillId="0" borderId="0" xfId="0" applyFont="1"/>
    <xf numFmtId="0" fontId="17" fillId="10" borderId="0" xfId="0" applyFont="1" applyFill="1"/>
    <xf numFmtId="0" fontId="19" fillId="10" borderId="0" xfId="0" applyFont="1" applyFill="1"/>
    <xf numFmtId="9" fontId="0" fillId="10" borderId="12" xfId="0" applyNumberFormat="1" applyFill="1" applyBorder="1"/>
    <xf numFmtId="0" fontId="38" fillId="10" borderId="0" xfId="0" applyFont="1" applyFill="1" applyAlignment="1">
      <alignment horizontal="right"/>
    </xf>
    <xf numFmtId="2" fontId="0" fillId="16" borderId="12" xfId="0" applyNumberFormat="1" applyFill="1" applyBorder="1" applyAlignment="1">
      <alignment horizontal="center" vertical="center"/>
    </xf>
    <xf numFmtId="2" fontId="0" fillId="16" borderId="15" xfId="0" applyNumberFormat="1" applyFill="1" applyBorder="1" applyAlignment="1">
      <alignment horizontal="center" vertical="center"/>
    </xf>
    <xf numFmtId="0" fontId="9" fillId="0" borderId="0" xfId="0" applyFont="1" applyAlignment="1">
      <alignment horizontal="left"/>
    </xf>
    <xf numFmtId="0" fontId="0" fillId="0" borderId="0" xfId="0" quotePrefix="1" applyAlignment="1">
      <alignment horizontal="center"/>
    </xf>
    <xf numFmtId="0" fontId="0" fillId="19" borderId="12" xfId="0" applyFill="1" applyBorder="1"/>
    <xf numFmtId="0" fontId="0" fillId="19" borderId="12" xfId="0" quotePrefix="1" applyFill="1" applyBorder="1"/>
    <xf numFmtId="2" fontId="11" fillId="3" borderId="0" xfId="0" applyNumberFormat="1" applyFont="1" applyFill="1" applyAlignment="1">
      <alignment horizontal="center" vertical="center" wrapText="1"/>
    </xf>
    <xf numFmtId="10" fontId="0" fillId="0" borderId="0" xfId="0" applyNumberFormat="1"/>
    <xf numFmtId="2" fontId="18" fillId="16" borderId="12" xfId="0" applyNumberFormat="1" applyFont="1" applyFill="1" applyBorder="1" applyAlignment="1">
      <alignment horizontal="center"/>
    </xf>
    <xf numFmtId="2" fontId="0" fillId="15" borderId="12" xfId="0" applyNumberFormat="1" applyFill="1" applyBorder="1"/>
    <xf numFmtId="0" fontId="14" fillId="3" borderId="12" xfId="0" applyFont="1" applyFill="1" applyBorder="1" applyAlignment="1">
      <alignment wrapText="1"/>
    </xf>
    <xf numFmtId="0" fontId="19" fillId="3" borderId="12" xfId="0" applyFont="1" applyFill="1" applyBorder="1" applyAlignment="1">
      <alignment wrapText="1"/>
    </xf>
    <xf numFmtId="0" fontId="14" fillId="3" borderId="24" xfId="0" applyFont="1" applyFill="1" applyBorder="1"/>
    <xf numFmtId="0" fontId="28" fillId="3" borderId="12" xfId="0" applyFont="1" applyFill="1" applyBorder="1" applyAlignment="1">
      <alignment horizontal="center"/>
    </xf>
    <xf numFmtId="0" fontId="27" fillId="3" borderId="24" xfId="0" applyFont="1" applyFill="1" applyBorder="1" applyAlignment="1">
      <alignment horizontal="center"/>
    </xf>
    <xf numFmtId="2" fontId="28" fillId="3" borderId="12" xfId="0" applyNumberFormat="1" applyFont="1" applyFill="1" applyBorder="1"/>
    <xf numFmtId="2" fontId="27" fillId="3" borderId="24" xfId="0" applyNumberFormat="1" applyFont="1" applyFill="1" applyBorder="1"/>
    <xf numFmtId="2" fontId="28" fillId="3" borderId="24" xfId="0" applyNumberFormat="1" applyFont="1" applyFill="1" applyBorder="1"/>
    <xf numFmtId="0" fontId="29" fillId="3" borderId="12" xfId="0" applyFont="1" applyFill="1" applyBorder="1"/>
    <xf numFmtId="1" fontId="29" fillId="3" borderId="12" xfId="0" applyNumberFormat="1" applyFont="1" applyFill="1" applyBorder="1" applyAlignment="1">
      <alignment horizontal="center"/>
    </xf>
    <xf numFmtId="1" fontId="14" fillId="3" borderId="24" xfId="0" applyNumberFormat="1" applyFont="1" applyFill="1" applyBorder="1" applyAlignment="1">
      <alignment horizontal="center"/>
    </xf>
    <xf numFmtId="0" fontId="14" fillId="3" borderId="24" xfId="0" applyFont="1" applyFill="1" applyBorder="1" applyAlignment="1">
      <alignment horizontal="center"/>
    </xf>
    <xf numFmtId="1" fontId="28" fillId="3" borderId="24" xfId="0" applyNumberFormat="1" applyFont="1" applyFill="1" applyBorder="1" applyAlignment="1">
      <alignment horizontal="center"/>
    </xf>
    <xf numFmtId="9" fontId="14" fillId="3" borderId="24" xfId="0" applyNumberFormat="1" applyFont="1" applyFill="1" applyBorder="1" applyAlignment="1">
      <alignment horizontal="center"/>
    </xf>
    <xf numFmtId="2" fontId="29" fillId="3" borderId="12" xfId="0" applyNumberFormat="1" applyFont="1" applyFill="1" applyBorder="1"/>
    <xf numFmtId="2" fontId="14" fillId="3" borderId="24" xfId="0" applyNumberFormat="1" applyFont="1" applyFill="1" applyBorder="1"/>
    <xf numFmtId="0" fontId="9" fillId="0" borderId="0" xfId="0" applyFont="1" applyAlignment="1">
      <alignment horizontal="left"/>
    </xf>
    <xf numFmtId="0" fontId="9" fillId="0" borderId="0" xfId="0" applyFont="1" applyAlignment="1">
      <alignment horizontal="center" wrapText="1"/>
    </xf>
    <xf numFmtId="0" fontId="6" fillId="0" borderId="12" xfId="0" applyFont="1" applyBorder="1" applyAlignment="1">
      <alignment horizontal="center" vertical="center"/>
    </xf>
    <xf numFmtId="0" fontId="9" fillId="0" borderId="0" xfId="0" applyFont="1" applyAlignment="1">
      <alignment horizontal="center"/>
    </xf>
    <xf numFmtId="0" fontId="0" fillId="0" borderId="0" xfId="0" applyAlignment="1">
      <alignment horizontal="center"/>
    </xf>
    <xf numFmtId="0" fontId="0" fillId="0" borderId="0" xfId="0" applyAlignment="1">
      <alignment horizontal="center" textRotation="90"/>
    </xf>
    <xf numFmtId="0" fontId="6" fillId="0" borderId="0" xfId="0" applyFont="1" applyAlignment="1">
      <alignment horizontal="center" vertical="center" wrapText="1"/>
    </xf>
    <xf numFmtId="0" fontId="0" fillId="0" borderId="0" xfId="0" applyAlignment="1">
      <alignment horizontal="center" vertical="center" textRotation="90"/>
    </xf>
    <xf numFmtId="0" fontId="0" fillId="0" borderId="0" xfId="0" applyAlignment="1">
      <alignment horizontal="center" vertical="center" textRotation="90" wrapText="1"/>
    </xf>
    <xf numFmtId="0" fontId="0" fillId="0" borderId="0" xfId="0" applyAlignment="1">
      <alignment horizontal="center" textRotation="90" wrapText="1"/>
    </xf>
    <xf numFmtId="0" fontId="26" fillId="0" borderId="39" xfId="0" applyFont="1" applyBorder="1" applyAlignment="1">
      <alignment horizontal="left"/>
    </xf>
    <xf numFmtId="0" fontId="11" fillId="0" borderId="87" xfId="0" applyFont="1" applyBorder="1" applyAlignment="1">
      <alignment horizontal="center" vertical="center" wrapText="1"/>
    </xf>
    <xf numFmtId="0" fontId="11" fillId="0" borderId="85" xfId="0" applyFont="1" applyBorder="1" applyAlignment="1">
      <alignment horizontal="center" vertical="center" wrapText="1"/>
    </xf>
    <xf numFmtId="0" fontId="6" fillId="0" borderId="8" xfId="0" applyFont="1" applyBorder="1" applyAlignment="1">
      <alignment horizontal="center" wrapText="1"/>
    </xf>
    <xf numFmtId="0" fontId="6" fillId="0" borderId="7" xfId="0" applyFont="1" applyBorder="1" applyAlignment="1">
      <alignment horizontal="center"/>
    </xf>
    <xf numFmtId="0" fontId="6" fillId="0" borderId="5" xfId="0" applyFont="1" applyBorder="1" applyAlignment="1">
      <alignment horizontal="center"/>
    </xf>
    <xf numFmtId="0" fontId="9" fillId="0" borderId="68" xfId="0" applyFont="1" applyBorder="1" applyAlignment="1">
      <alignment horizontal="center"/>
    </xf>
    <xf numFmtId="0" fontId="9" fillId="0" borderId="26" xfId="0" applyFont="1" applyBorder="1" applyAlignment="1">
      <alignment horizontal="center"/>
    </xf>
    <xf numFmtId="0" fontId="8" fillId="0" borderId="0" xfId="0" applyFont="1" applyAlignment="1">
      <alignment horizontal="center"/>
    </xf>
    <xf numFmtId="0" fontId="8" fillId="0" borderId="63" xfId="0" applyFont="1" applyBorder="1" applyAlignment="1">
      <alignment horizontal="center"/>
    </xf>
    <xf numFmtId="17" fontId="2" fillId="0" borderId="43" xfId="0" applyNumberFormat="1" applyFont="1" applyBorder="1" applyAlignment="1">
      <alignment horizontal="center"/>
    </xf>
    <xf numFmtId="0" fontId="2" fillId="0" borderId="11" xfId="0" applyFont="1" applyBorder="1" applyAlignment="1">
      <alignment horizontal="center"/>
    </xf>
    <xf numFmtId="0" fontId="6" fillId="0" borderId="50" xfId="0" applyFont="1" applyBorder="1" applyAlignment="1">
      <alignment horizontal="center"/>
    </xf>
    <xf numFmtId="0" fontId="6" fillId="0" borderId="26" xfId="0" applyFont="1" applyBorder="1" applyAlignment="1">
      <alignment horizontal="center"/>
    </xf>
    <xf numFmtId="0" fontId="0" fillId="0" borderId="52" xfId="0" applyBorder="1" applyAlignment="1">
      <alignment horizontal="center"/>
    </xf>
    <xf numFmtId="0" fontId="0" fillId="0" borderId="72" xfId="0" applyBorder="1" applyAlignment="1">
      <alignment horizontal="center"/>
    </xf>
    <xf numFmtId="14" fontId="2" fillId="6" borderId="97" xfId="0" applyNumberFormat="1" applyFont="1" applyFill="1" applyBorder="1" applyAlignment="1">
      <alignment horizontal="center" vertical="center"/>
    </xf>
    <xf numFmtId="0" fontId="2" fillId="6" borderId="12" xfId="0" applyFont="1" applyFill="1" applyBorder="1" applyAlignment="1">
      <alignment horizontal="center" vertical="center"/>
    </xf>
    <xf numFmtId="0" fontId="11" fillId="0" borderId="70" xfId="0" applyFont="1" applyBorder="1" applyAlignment="1">
      <alignment horizontal="center" vertical="center" wrapText="1"/>
    </xf>
    <xf numFmtId="0" fontId="11" fillId="0" borderId="71" xfId="0" applyFont="1" applyBorder="1" applyAlignment="1">
      <alignment horizontal="center" vertical="center" wrapText="1"/>
    </xf>
    <xf numFmtId="0" fontId="5" fillId="0" borderId="77" xfId="0" applyFont="1" applyBorder="1" applyAlignment="1">
      <alignment horizontal="center" vertical="center"/>
    </xf>
    <xf numFmtId="0" fontId="5" fillId="0" borderId="78" xfId="0" applyFont="1" applyBorder="1" applyAlignment="1">
      <alignment horizontal="center" vertical="center"/>
    </xf>
    <xf numFmtId="0" fontId="5" fillId="0" borderId="77" xfId="0" applyFont="1" applyBorder="1" applyAlignment="1">
      <alignment horizontal="center"/>
    </xf>
    <xf numFmtId="0" fontId="5" fillId="0" borderId="78" xfId="0" applyFont="1" applyBorder="1" applyAlignment="1">
      <alignment horizontal="center"/>
    </xf>
    <xf numFmtId="14" fontId="2" fillId="6" borderId="12" xfId="0" applyNumberFormat="1" applyFont="1" applyFill="1" applyBorder="1" applyAlignment="1">
      <alignment horizontal="center" vertical="center"/>
    </xf>
    <xf numFmtId="0" fontId="30" fillId="0" borderId="39" xfId="0" applyFont="1" applyBorder="1" applyAlignment="1">
      <alignment horizontal="center"/>
    </xf>
    <xf numFmtId="0" fontId="31" fillId="0" borderId="39" xfId="0" applyFont="1" applyBorder="1" applyAlignment="1">
      <alignment horizontal="center"/>
    </xf>
    <xf numFmtId="0" fontId="11" fillId="0" borderId="58" xfId="0" applyFont="1" applyBorder="1" applyAlignment="1">
      <alignment horizontal="center" vertical="center" wrapText="1"/>
    </xf>
    <xf numFmtId="0" fontId="11" fillId="0" borderId="59" xfId="0" applyFont="1" applyBorder="1" applyAlignment="1">
      <alignment horizontal="center" vertical="center" wrapText="1"/>
    </xf>
    <xf numFmtId="0" fontId="6" fillId="0" borderId="8" xfId="0" applyFont="1" applyBorder="1" applyAlignment="1">
      <alignment horizontal="center"/>
    </xf>
    <xf numFmtId="0" fontId="9" fillId="0" borderId="52" xfId="0" applyFont="1" applyBorder="1" applyAlignment="1">
      <alignment horizontal="center"/>
    </xf>
    <xf numFmtId="0" fontId="9" fillId="0" borderId="63" xfId="0" applyFont="1" applyBorder="1" applyAlignment="1">
      <alignment horizontal="center"/>
    </xf>
    <xf numFmtId="17" fontId="2" fillId="0" borderId="22" xfId="0" applyNumberFormat="1" applyFont="1" applyBorder="1" applyAlignment="1">
      <alignment horizontal="center"/>
    </xf>
    <xf numFmtId="0" fontId="2" fillId="0" borderId="34" xfId="0" applyFont="1" applyBorder="1" applyAlignment="1">
      <alignment horizontal="center"/>
    </xf>
    <xf numFmtId="17" fontId="2" fillId="0" borderId="41" xfId="0" applyNumberFormat="1" applyFont="1" applyBorder="1" applyAlignment="1">
      <alignment horizontal="center"/>
    </xf>
    <xf numFmtId="0" fontId="2" fillId="0" borderId="17" xfId="0" applyFont="1" applyBorder="1" applyAlignment="1">
      <alignment horizontal="center"/>
    </xf>
    <xf numFmtId="0" fontId="0" fillId="0" borderId="24" xfId="0" applyBorder="1" applyAlignment="1">
      <alignment horizontal="center"/>
    </xf>
    <xf numFmtId="0" fontId="0" fillId="0" borderId="96" xfId="0" applyBorder="1" applyAlignment="1">
      <alignment horizontal="center"/>
    </xf>
    <xf numFmtId="0" fontId="23" fillId="0" borderId="53" xfId="0" applyFont="1" applyBorder="1" applyAlignment="1">
      <alignment horizontal="center"/>
    </xf>
    <xf numFmtId="0" fontId="23" fillId="0" borderId="54" xfId="0" applyFont="1" applyBorder="1" applyAlignment="1">
      <alignment horizontal="center"/>
    </xf>
    <xf numFmtId="0" fontId="6" fillId="0" borderId="40" xfId="0" applyFont="1" applyBorder="1" applyAlignment="1">
      <alignment horizontal="center"/>
    </xf>
    <xf numFmtId="0" fontId="6" fillId="0" borderId="17" xfId="0" applyFont="1" applyBorder="1" applyAlignment="1">
      <alignment horizontal="center"/>
    </xf>
    <xf numFmtId="0" fontId="6" fillId="0" borderId="34" xfId="0" applyFont="1" applyBorder="1" applyAlignment="1">
      <alignment horizontal="center"/>
    </xf>
    <xf numFmtId="0" fontId="6" fillId="0" borderId="7" xfId="0" applyFont="1" applyBorder="1" applyAlignment="1">
      <alignment horizontal="center" wrapText="1"/>
    </xf>
    <xf numFmtId="0" fontId="6" fillId="0" borderId="5" xfId="0" applyFont="1" applyBorder="1" applyAlignment="1">
      <alignment horizontal="center" wrapText="1"/>
    </xf>
    <xf numFmtId="0" fontId="23" fillId="0" borderId="39" xfId="0" applyFont="1" applyBorder="1" applyAlignment="1">
      <alignment horizontal="center"/>
    </xf>
    <xf numFmtId="0" fontId="8" fillId="0" borderId="61" xfId="0" applyFont="1" applyBorder="1" applyAlignment="1">
      <alignment horizontal="center"/>
    </xf>
    <xf numFmtId="0" fontId="0" fillId="0" borderId="50" xfId="0" applyBorder="1" applyAlignment="1">
      <alignment horizontal="center"/>
    </xf>
    <xf numFmtId="0" fontId="0" fillId="0" borderId="26" xfId="0" applyBorder="1" applyAlignment="1">
      <alignment horizontal="center"/>
    </xf>
    <xf numFmtId="0" fontId="16" fillId="0" borderId="39" xfId="0" applyFont="1" applyBorder="1" applyAlignment="1">
      <alignment horizontal="center" wrapText="1"/>
    </xf>
    <xf numFmtId="0" fontId="11" fillId="0" borderId="90" xfId="0" applyFont="1" applyBorder="1" applyAlignment="1">
      <alignment horizontal="center" vertical="center" wrapText="1"/>
    </xf>
    <xf numFmtId="0" fontId="11" fillId="0" borderId="91" xfId="0" applyFont="1" applyBorder="1" applyAlignment="1">
      <alignment horizontal="center" vertical="center" wrapText="1"/>
    </xf>
    <xf numFmtId="0" fontId="9" fillId="0" borderId="93" xfId="0" applyFont="1" applyBorder="1" applyAlignment="1">
      <alignment horizontal="center"/>
    </xf>
    <xf numFmtId="0" fontId="9" fillId="0" borderId="88" xfId="0" applyFont="1" applyBorder="1" applyAlignment="1">
      <alignment horizontal="center"/>
    </xf>
    <xf numFmtId="0" fontId="2" fillId="0" borderId="51" xfId="0" applyFont="1" applyBorder="1" applyAlignment="1">
      <alignment horizontal="center"/>
    </xf>
    <xf numFmtId="17" fontId="2" fillId="0" borderId="0" xfId="0" applyNumberFormat="1" applyFont="1" applyAlignment="1">
      <alignment horizontal="center"/>
    </xf>
    <xf numFmtId="0" fontId="0" fillId="0" borderId="88" xfId="0" applyBorder="1" applyAlignment="1">
      <alignment horizontal="center"/>
    </xf>
    <xf numFmtId="0" fontId="2" fillId="6" borderId="24" xfId="0" applyFont="1" applyFill="1" applyBorder="1" applyAlignment="1">
      <alignment horizontal="center" vertical="center"/>
    </xf>
    <xf numFmtId="0" fontId="2" fillId="6" borderId="23" xfId="0" applyFont="1" applyFill="1" applyBorder="1" applyAlignment="1">
      <alignment horizontal="center" vertical="center"/>
    </xf>
    <xf numFmtId="14" fontId="2" fillId="6" borderId="22" xfId="0" applyNumberFormat="1" applyFont="1" applyFill="1" applyBorder="1" applyAlignment="1">
      <alignment horizontal="center" vertical="center"/>
    </xf>
    <xf numFmtId="14" fontId="2" fillId="6" borderId="25" xfId="0" applyNumberFormat="1" applyFont="1" applyFill="1" applyBorder="1" applyAlignment="1">
      <alignment horizontal="center" vertical="center"/>
    </xf>
    <xf numFmtId="14" fontId="2" fillId="6" borderId="65" xfId="0" applyNumberFormat="1" applyFont="1" applyFill="1" applyBorder="1" applyAlignment="1">
      <alignment horizontal="center" vertical="center"/>
    </xf>
    <xf numFmtId="14" fontId="2" fillId="6" borderId="66" xfId="0" applyNumberFormat="1" applyFont="1" applyFill="1" applyBorder="1" applyAlignment="1">
      <alignment horizontal="center" vertical="center"/>
    </xf>
    <xf numFmtId="0" fontId="6" fillId="6" borderId="68" xfId="0" applyFont="1" applyFill="1" applyBorder="1" applyAlignment="1">
      <alignment horizontal="center"/>
    </xf>
    <xf numFmtId="0" fontId="6" fillId="6" borderId="83" xfId="0" applyFont="1" applyFill="1" applyBorder="1" applyAlignment="1">
      <alignment horizontal="center"/>
    </xf>
    <xf numFmtId="0" fontId="16" fillId="0" borderId="38" xfId="0" applyFont="1" applyBorder="1" applyAlignment="1">
      <alignment horizontal="center"/>
    </xf>
    <xf numFmtId="0" fontId="2" fillId="6" borderId="0" xfId="0" applyFont="1" applyFill="1" applyAlignment="1">
      <alignment horizontal="center" vertical="center"/>
    </xf>
  </cellXfs>
  <cellStyles count="4">
    <cellStyle name="Excel Built-in Normal" xfId="1" xr:uid="{8B38EE2C-9430-4070-B9D8-0F5A1DBD77A8}"/>
    <cellStyle name="Hyperlink" xfId="3" builtinId="8"/>
    <cellStyle name="Normal" xfId="0" builtinId="0"/>
    <cellStyle name="Normal 2" xfId="2" xr:uid="{8B176194-964F-4D3C-9F66-51C971DB55F5}"/>
  </cellStyles>
  <dxfs count="148">
    <dxf>
      <font>
        <color rgb="FF9C0006"/>
      </font>
      <fill>
        <patternFill patternType="solid">
          <bgColor rgb="FF92D050"/>
        </patternFill>
      </fill>
    </dxf>
    <dxf>
      <font>
        <color rgb="FF9C0006"/>
      </font>
      <fill>
        <patternFill>
          <bgColor rgb="FFFFC7CE"/>
        </patternFill>
      </fill>
    </dxf>
    <dxf>
      <font>
        <color rgb="FF9C0006"/>
      </font>
      <fill>
        <patternFill>
          <bgColor rgb="FFFFC7CE"/>
        </patternFill>
      </fill>
    </dxf>
    <dxf>
      <font>
        <color rgb="FFFF0000"/>
      </font>
      <fill>
        <patternFill patternType="solid">
          <bgColor rgb="FF92D050"/>
        </patternFill>
      </fill>
    </dxf>
    <dxf>
      <font>
        <color rgb="FF9C0006"/>
      </font>
      <fill>
        <patternFill>
          <bgColor rgb="FFFFC7CE"/>
        </patternFill>
      </fill>
    </dxf>
    <dxf>
      <font>
        <color rgb="FF9C0006"/>
      </font>
      <fill>
        <patternFill>
          <bgColor rgb="FFFFC7CE"/>
        </patternFill>
      </fill>
    </dxf>
    <dxf>
      <font>
        <color rgb="FF9C0006"/>
      </font>
      <fill>
        <patternFill patternType="solid">
          <bgColor rgb="FF92D05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FF0000"/>
      </font>
      <fill>
        <patternFill patternType="solid">
          <bgColor rgb="FF92D050"/>
        </patternFill>
      </fill>
    </dxf>
    <dxf>
      <font>
        <color rgb="FF9C0006"/>
      </font>
      <fill>
        <patternFill>
          <bgColor rgb="FFFFC7CE"/>
        </patternFill>
      </fill>
    </dxf>
    <dxf>
      <font>
        <color rgb="FF9C0006"/>
      </font>
      <fill>
        <patternFill>
          <bgColor rgb="FFFFC7CE"/>
        </patternFill>
      </fill>
    </dxf>
    <dxf>
      <font>
        <color rgb="FF9C0006"/>
      </font>
      <fill>
        <patternFill patternType="solid">
          <bgColor rgb="FF92D050"/>
        </patternFill>
      </fill>
    </dxf>
    <dxf>
      <font>
        <color rgb="FF9C0006"/>
      </font>
      <fill>
        <patternFill patternType="solid">
          <bgColor rgb="FF92D050"/>
        </patternFill>
      </fill>
    </dxf>
    <dxf>
      <font>
        <color rgb="FF9C0006"/>
      </font>
      <fill>
        <patternFill patternType="solid">
          <bgColor rgb="FF92D050"/>
        </patternFill>
      </fill>
    </dxf>
    <dxf>
      <font>
        <color rgb="FF9C0006"/>
      </font>
      <fill>
        <patternFill patternType="solid">
          <bgColor rgb="FF92D050"/>
        </patternFill>
      </fill>
    </dxf>
    <dxf>
      <font>
        <color rgb="FF9C0006"/>
      </font>
      <fill>
        <patternFill patternType="solid">
          <bgColor rgb="FF92D050"/>
        </patternFill>
      </fill>
    </dxf>
    <dxf>
      <font>
        <color rgb="FF9C0006"/>
      </font>
      <fill>
        <patternFill patternType="solid">
          <bgColor rgb="FF92D050"/>
        </patternFill>
      </fill>
    </dxf>
    <dxf>
      <font>
        <color rgb="FF9C0006"/>
      </font>
      <fill>
        <patternFill patternType="solid">
          <bgColor rgb="FF92D050"/>
        </patternFill>
      </fill>
    </dxf>
    <dxf>
      <font>
        <color rgb="FF9C0006"/>
      </font>
      <fill>
        <patternFill patternType="solid">
          <bgColor rgb="FF92D050"/>
        </patternFill>
      </fill>
    </dxf>
    <dxf>
      <font>
        <color rgb="FF9C0006"/>
      </font>
      <fill>
        <patternFill patternType="solid">
          <bgColor rgb="FF92D050"/>
        </patternFill>
      </fill>
    </dxf>
    <dxf>
      <font>
        <color rgb="FF9C0006"/>
      </font>
      <fill>
        <patternFill patternType="solid">
          <bgColor rgb="FF92D050"/>
        </patternFill>
      </fill>
    </dxf>
    <dxf>
      <font>
        <color rgb="FF9C0006"/>
      </font>
      <fill>
        <patternFill patternType="solid">
          <bgColor rgb="FF92D050"/>
        </patternFill>
      </fill>
    </dxf>
    <dxf>
      <font>
        <color rgb="FF9C0006"/>
      </font>
      <fill>
        <patternFill patternType="solid">
          <bgColor rgb="FF92D050"/>
        </patternFill>
      </fill>
    </dxf>
    <dxf>
      <font>
        <color rgb="FF9C0006"/>
      </font>
      <fill>
        <patternFill patternType="solid">
          <bgColor rgb="FF92D050"/>
        </patternFill>
      </fill>
    </dxf>
    <dxf>
      <font>
        <color rgb="FF9C0006"/>
      </font>
      <fill>
        <patternFill patternType="solid">
          <bgColor rgb="FF92D050"/>
        </patternFill>
      </fill>
    </dxf>
    <dxf>
      <font>
        <color rgb="FF9C0006"/>
      </font>
      <fill>
        <patternFill patternType="solid">
          <bgColor rgb="FF92D050"/>
        </patternFill>
      </fill>
    </dxf>
    <dxf>
      <font>
        <color rgb="FF9C0006"/>
      </font>
      <fill>
        <patternFill patternType="solid">
          <bgColor rgb="FF92D050"/>
        </patternFill>
      </fill>
    </dxf>
    <dxf>
      <font>
        <color rgb="FFFF0000"/>
      </font>
      <fill>
        <patternFill patternType="solid">
          <bgColor rgb="FF92D050"/>
        </patternFill>
      </fill>
    </dxf>
    <dxf>
      <font>
        <color rgb="FF9C0006"/>
      </font>
      <fill>
        <patternFill patternType="solid">
          <bgColor rgb="FF92D050"/>
        </patternFill>
      </fill>
    </dxf>
    <dxf>
      <font>
        <color rgb="FF9C0006"/>
      </font>
      <fill>
        <patternFill patternType="solid">
          <bgColor rgb="FF92D050"/>
        </patternFill>
      </fill>
    </dxf>
    <dxf>
      <font>
        <color rgb="FF9C0006"/>
      </font>
      <fill>
        <patternFill patternType="solid">
          <bgColor rgb="FF92D050"/>
        </patternFill>
      </fill>
    </dxf>
    <dxf>
      <font>
        <color rgb="FF9C0006"/>
      </font>
      <fill>
        <patternFill patternType="solid">
          <bgColor rgb="FF92D050"/>
        </patternFill>
      </fill>
    </dxf>
    <dxf>
      <font>
        <color rgb="FF9C0006"/>
      </font>
      <fill>
        <patternFill patternType="solid">
          <bgColor rgb="FF92D050"/>
        </patternFill>
      </fill>
    </dxf>
    <dxf>
      <font>
        <color rgb="FFFF0000"/>
      </font>
      <fill>
        <patternFill patternType="solid">
          <bgColor rgb="FF92D050"/>
        </patternFill>
      </fill>
    </dxf>
    <dxf>
      <font>
        <color rgb="FF9C0006"/>
      </font>
      <fill>
        <patternFill>
          <bgColor rgb="FFFFC7CE"/>
        </patternFill>
      </fill>
    </dxf>
    <dxf>
      <font>
        <color rgb="FF9C0006"/>
      </font>
      <fill>
        <patternFill>
          <bgColor rgb="FFFFC7CE"/>
        </patternFill>
      </fill>
    </dxf>
    <dxf>
      <font>
        <color rgb="FF9C0006"/>
      </font>
      <fill>
        <patternFill patternType="solid">
          <bgColor rgb="FF92D05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patternType="solid">
          <bgColor rgb="FF92D050"/>
        </patternFill>
      </fill>
    </dxf>
    <dxf>
      <font>
        <color rgb="FF9C0006"/>
      </font>
      <fill>
        <patternFill patternType="solid">
          <bgColor rgb="FF92D050"/>
        </patternFill>
      </fill>
    </dxf>
    <dxf>
      <font>
        <color rgb="FF9C0006"/>
      </font>
      <fill>
        <patternFill>
          <bgColor rgb="FFFFC7CE"/>
        </patternFill>
      </fill>
    </dxf>
    <dxf>
      <font>
        <color rgb="FF9C0006"/>
      </font>
      <fill>
        <patternFill>
          <bgColor rgb="FFFFC7CE"/>
        </patternFill>
      </fill>
    </dxf>
    <dxf>
      <font>
        <color rgb="FFFF0000"/>
      </font>
      <fill>
        <patternFill patternType="solid">
          <bgColor rgb="FF92D050"/>
        </patternFill>
      </fill>
    </dxf>
    <dxf>
      <font>
        <color rgb="FF9C0006"/>
      </font>
      <fill>
        <patternFill>
          <bgColor rgb="FFFFC7CE"/>
        </patternFill>
      </fill>
    </dxf>
    <dxf>
      <font>
        <color rgb="FF9C0006"/>
      </font>
      <fill>
        <patternFill>
          <bgColor rgb="FFFFC7CE"/>
        </patternFill>
      </fill>
    </dxf>
    <dxf>
      <font>
        <color rgb="FF9C0006"/>
      </font>
      <fill>
        <patternFill patternType="solid">
          <bgColor rgb="FF92D050"/>
        </patternFill>
      </fill>
    </dxf>
    <dxf>
      <font>
        <color rgb="FF9C0006"/>
      </font>
      <fill>
        <patternFill patternType="solid">
          <bgColor rgb="FF92D050"/>
        </patternFill>
      </fill>
    </dxf>
    <dxf>
      <font>
        <color rgb="FF9C0006"/>
      </font>
      <fill>
        <patternFill>
          <bgColor rgb="FFFFC7CE"/>
        </patternFill>
      </fill>
    </dxf>
    <dxf>
      <font>
        <color rgb="FF9C0006"/>
      </font>
      <fill>
        <patternFill>
          <bgColor rgb="FFFFC7CE"/>
        </patternFill>
      </fill>
    </dxf>
    <dxf>
      <font>
        <color rgb="FFFF0000"/>
      </font>
      <fill>
        <patternFill patternType="solid">
          <bgColor rgb="FF92D050"/>
        </patternFill>
      </fill>
    </dxf>
    <dxf>
      <font>
        <color rgb="FF9C0006"/>
      </font>
      <fill>
        <patternFill>
          <bgColor rgb="FFFFC7CE"/>
        </patternFill>
      </fill>
    </dxf>
    <dxf>
      <font>
        <color rgb="FF9C0006"/>
      </font>
      <fill>
        <patternFill>
          <bgColor rgb="FFFFC7CE"/>
        </patternFill>
      </fill>
    </dxf>
    <dxf>
      <font>
        <color rgb="FF9C0006"/>
      </font>
      <fill>
        <patternFill patternType="solid">
          <bgColor rgb="FF92D050"/>
        </patternFill>
      </fill>
    </dxf>
    <dxf>
      <font>
        <color rgb="FF9C0006"/>
      </font>
      <fill>
        <patternFill patternType="solid">
          <bgColor rgb="FF92D050"/>
        </patternFill>
      </fill>
    </dxf>
    <dxf>
      <font>
        <color rgb="FF9C0006"/>
      </font>
      <fill>
        <patternFill>
          <bgColor rgb="FFFFC7CE"/>
        </patternFill>
      </fill>
    </dxf>
    <dxf>
      <font>
        <color rgb="FF9C0006"/>
      </font>
      <fill>
        <patternFill>
          <bgColor rgb="FFFFC7CE"/>
        </patternFill>
      </fill>
    </dxf>
    <dxf>
      <font>
        <color rgb="FFFF0000"/>
      </font>
      <fill>
        <patternFill patternType="solid">
          <bgColor rgb="FF92D050"/>
        </patternFill>
      </fill>
    </dxf>
    <dxf>
      <font>
        <color rgb="FF9C0006"/>
      </font>
      <fill>
        <patternFill>
          <bgColor rgb="FFFFC7CE"/>
        </patternFill>
      </fill>
    </dxf>
    <dxf>
      <font>
        <color rgb="FF9C0006"/>
      </font>
      <fill>
        <patternFill>
          <bgColor rgb="FFFFC7CE"/>
        </patternFill>
      </fill>
    </dxf>
    <dxf>
      <font>
        <color rgb="FF9C0006"/>
      </font>
      <fill>
        <patternFill patternType="solid">
          <bgColor rgb="FF92D050"/>
        </patternFill>
      </fill>
    </dxf>
    <dxf>
      <font>
        <color rgb="FF9C0006"/>
      </font>
      <fill>
        <patternFill patternType="solid">
          <bgColor rgb="FF92D050"/>
        </patternFill>
      </fill>
    </dxf>
    <dxf>
      <font>
        <color rgb="FF9C0006"/>
      </font>
      <fill>
        <patternFill>
          <bgColor rgb="FFFFC7CE"/>
        </patternFill>
      </fill>
    </dxf>
    <dxf>
      <font>
        <color rgb="FF9C0006"/>
      </font>
      <fill>
        <patternFill>
          <bgColor rgb="FFFFC7CE"/>
        </patternFill>
      </fill>
    </dxf>
    <dxf>
      <font>
        <color rgb="FFFF0000"/>
      </font>
      <fill>
        <patternFill patternType="solid">
          <bgColor rgb="FF92D050"/>
        </patternFill>
      </fill>
    </dxf>
    <dxf>
      <font>
        <color rgb="FF9C0006"/>
      </font>
      <fill>
        <patternFill>
          <bgColor rgb="FFFFC7CE"/>
        </patternFill>
      </fill>
    </dxf>
    <dxf>
      <font>
        <color rgb="FF9C0006"/>
      </font>
      <fill>
        <patternFill>
          <bgColor rgb="FFFFC7CE"/>
        </patternFill>
      </fill>
    </dxf>
    <dxf>
      <font>
        <color rgb="FF9C0006"/>
      </font>
      <fill>
        <patternFill patternType="solid">
          <bgColor rgb="FF92D050"/>
        </patternFill>
      </fill>
    </dxf>
    <dxf>
      <font>
        <color rgb="FF9C0006"/>
      </font>
      <fill>
        <patternFill patternType="solid">
          <bgColor rgb="FF92D050"/>
        </patternFill>
      </fill>
    </dxf>
    <dxf>
      <font>
        <color rgb="FF9C0006"/>
      </font>
      <fill>
        <patternFill>
          <bgColor rgb="FFFFC7CE"/>
        </patternFill>
      </fill>
    </dxf>
    <dxf>
      <font>
        <color rgb="FF9C0006"/>
      </font>
      <fill>
        <patternFill>
          <bgColor rgb="FFFFC7CE"/>
        </patternFill>
      </fill>
    </dxf>
    <dxf>
      <font>
        <color rgb="FFFF0000"/>
      </font>
      <fill>
        <patternFill patternType="solid">
          <bgColor rgb="FF92D050"/>
        </patternFill>
      </fill>
    </dxf>
    <dxf>
      <font>
        <color rgb="FF9C0006"/>
      </font>
      <fill>
        <patternFill>
          <bgColor rgb="FFFFC7CE"/>
        </patternFill>
      </fill>
    </dxf>
    <dxf>
      <font>
        <color rgb="FF9C0006"/>
      </font>
      <fill>
        <patternFill>
          <bgColor rgb="FFFFC7CE"/>
        </patternFill>
      </fill>
    </dxf>
    <dxf>
      <font>
        <color rgb="FF9C0006"/>
      </font>
      <fill>
        <patternFill patternType="solid">
          <bgColor rgb="FF92D050"/>
        </patternFill>
      </fill>
    </dxf>
    <dxf>
      <font>
        <color rgb="FF9C0006"/>
      </font>
      <fill>
        <patternFill patternType="solid">
          <bgColor rgb="FF92D050"/>
        </patternFill>
      </fill>
    </dxf>
    <dxf>
      <font>
        <color rgb="FF9C0006"/>
      </font>
      <fill>
        <patternFill patternType="solid">
          <bgColor rgb="FF92D050"/>
        </patternFill>
      </fill>
    </dxf>
    <dxf>
      <font>
        <color rgb="FF9C0006"/>
      </font>
      <fill>
        <patternFill>
          <bgColor rgb="FFFFC7CE"/>
        </patternFill>
      </fill>
    </dxf>
    <dxf>
      <font>
        <color rgb="FF9C0006"/>
      </font>
      <fill>
        <patternFill>
          <bgColor rgb="FFFFC7CE"/>
        </patternFill>
      </fill>
    </dxf>
    <dxf>
      <font>
        <color rgb="FFFF0000"/>
      </font>
      <fill>
        <patternFill patternType="solid">
          <bgColor rgb="FF92D050"/>
        </patternFill>
      </fill>
    </dxf>
    <dxf>
      <font>
        <color rgb="FF9C0006"/>
      </font>
      <fill>
        <patternFill>
          <bgColor rgb="FFFFC7CE"/>
        </patternFill>
      </fill>
    </dxf>
    <dxf>
      <font>
        <color rgb="FF9C0006"/>
      </font>
      <fill>
        <patternFill>
          <bgColor rgb="FFFFC7CE"/>
        </patternFill>
      </fill>
    </dxf>
    <dxf>
      <font>
        <color rgb="FF9C0006"/>
      </font>
      <fill>
        <patternFill patternType="solid">
          <bgColor rgb="FF92D050"/>
        </patternFill>
      </fill>
    </dxf>
    <dxf>
      <font>
        <color rgb="FF9C0006"/>
      </font>
      <fill>
        <patternFill>
          <bgColor rgb="FFFFC7CE"/>
        </patternFill>
      </fill>
    </dxf>
    <dxf>
      <font>
        <color rgb="FF9C0006"/>
      </font>
      <fill>
        <patternFill>
          <bgColor rgb="FFFFC7CE"/>
        </patternFill>
      </fill>
    </dxf>
    <dxf>
      <font>
        <color rgb="FFFF0000"/>
      </font>
      <fill>
        <patternFill patternType="solid">
          <bgColor rgb="FF92D050"/>
        </patternFill>
      </fill>
    </dxf>
    <dxf>
      <font>
        <color rgb="FF9C0006"/>
      </font>
      <fill>
        <patternFill>
          <bgColor rgb="FFFFC7CE"/>
        </patternFill>
      </fill>
    </dxf>
    <dxf>
      <font>
        <color rgb="FF9C0006"/>
      </font>
      <fill>
        <patternFill>
          <bgColor rgb="FFFFC7CE"/>
        </patternFill>
      </fill>
    </dxf>
    <dxf>
      <font>
        <color rgb="FF9C0006"/>
      </font>
      <fill>
        <patternFill patternType="solid">
          <bgColor rgb="FF92D050"/>
        </patternFill>
      </fill>
    </dxf>
    <dxf>
      <font>
        <color rgb="FF9C0006"/>
      </font>
      <fill>
        <patternFill patternType="solid">
          <bgColor rgb="FF92D050"/>
        </patternFill>
      </fill>
    </dxf>
    <dxf>
      <font>
        <color rgb="FF9C0006"/>
      </font>
      <fill>
        <patternFill>
          <bgColor rgb="FFFFC7CE"/>
        </patternFill>
      </fill>
    </dxf>
    <dxf>
      <font>
        <color rgb="FF9C0006"/>
      </font>
      <fill>
        <patternFill>
          <bgColor rgb="FFFFC7CE"/>
        </patternFill>
      </fill>
    </dxf>
    <dxf>
      <font>
        <color rgb="FFFF0000"/>
      </font>
      <fill>
        <patternFill patternType="solid">
          <bgColor rgb="FF92D050"/>
        </patternFill>
      </fill>
    </dxf>
    <dxf>
      <font>
        <color rgb="FF9C0006"/>
      </font>
      <fill>
        <patternFill>
          <bgColor rgb="FFFFC7CE"/>
        </patternFill>
      </fill>
    </dxf>
    <dxf>
      <font>
        <color rgb="FF9C0006"/>
      </font>
      <fill>
        <patternFill>
          <bgColor rgb="FFFFC7CE"/>
        </patternFill>
      </fill>
    </dxf>
    <dxf>
      <font>
        <color rgb="FF9C0006"/>
      </font>
      <fill>
        <patternFill patternType="solid">
          <bgColor rgb="FF92D050"/>
        </patternFill>
      </fill>
    </dxf>
    <dxf>
      <font>
        <color rgb="FF9C0006"/>
      </font>
      <fill>
        <patternFill patternType="solid">
          <bgColor rgb="FF92D050"/>
        </patternFill>
      </fill>
    </dxf>
    <dxf>
      <font>
        <color rgb="FF9C0006"/>
      </font>
      <fill>
        <patternFill>
          <bgColor rgb="FFFFC7CE"/>
        </patternFill>
      </fill>
    </dxf>
    <dxf>
      <font>
        <color rgb="FF9C0006"/>
      </font>
      <fill>
        <patternFill>
          <bgColor rgb="FFFFC7CE"/>
        </patternFill>
      </fill>
    </dxf>
    <dxf>
      <font>
        <color rgb="FFFF0000"/>
      </font>
      <fill>
        <patternFill patternType="solid">
          <bgColor rgb="FF92D050"/>
        </patternFill>
      </fill>
    </dxf>
    <dxf>
      <font>
        <color rgb="FF9C0006"/>
      </font>
      <fill>
        <patternFill>
          <bgColor rgb="FFFFC7CE"/>
        </patternFill>
      </fill>
    </dxf>
    <dxf>
      <font>
        <color rgb="FF9C0006"/>
      </font>
      <fill>
        <patternFill>
          <bgColor rgb="FFFFC7CE"/>
        </patternFill>
      </fill>
    </dxf>
    <dxf>
      <font>
        <color rgb="FF9C0006"/>
      </font>
      <fill>
        <patternFill patternType="solid">
          <bgColor rgb="FF92D050"/>
        </patternFill>
      </fill>
    </dxf>
    <dxf>
      <font>
        <color rgb="FF9C0006"/>
      </font>
      <fill>
        <patternFill patternType="solid">
          <bgColor rgb="FF92D050"/>
        </patternFill>
      </fill>
    </dxf>
    <dxf>
      <font>
        <color rgb="FF9C0006"/>
      </font>
      <fill>
        <patternFill>
          <bgColor rgb="FFFFC7CE"/>
        </patternFill>
      </fill>
    </dxf>
    <dxf>
      <font>
        <color rgb="FF9C0006"/>
      </font>
      <fill>
        <patternFill>
          <bgColor rgb="FFFFC7CE"/>
        </patternFill>
      </fill>
    </dxf>
    <dxf>
      <font>
        <color rgb="FFFF0000"/>
      </font>
      <fill>
        <patternFill patternType="solid">
          <bgColor rgb="FF92D050"/>
        </patternFill>
      </fill>
    </dxf>
    <dxf>
      <font>
        <color rgb="FF9C0006"/>
      </font>
      <fill>
        <patternFill>
          <bgColor rgb="FFFFC7CE"/>
        </patternFill>
      </fill>
    </dxf>
    <dxf>
      <font>
        <color rgb="FF9C0006"/>
      </font>
      <fill>
        <patternFill>
          <bgColor rgb="FFFFC7CE"/>
        </patternFill>
      </fill>
    </dxf>
    <dxf>
      <font>
        <color rgb="FF9C0006"/>
      </font>
      <fill>
        <patternFill patternType="solid">
          <bgColor rgb="FF92D050"/>
        </patternFill>
      </fill>
    </dxf>
    <dxf>
      <font>
        <color rgb="FF9C0006"/>
      </font>
      <fill>
        <patternFill patternType="solid">
          <bgColor rgb="FF92D050"/>
        </patternFill>
      </fill>
    </dxf>
    <dxf>
      <font>
        <color rgb="FF9C0006"/>
      </font>
      <fill>
        <patternFill>
          <bgColor rgb="FFFFC7CE"/>
        </patternFill>
      </fill>
    </dxf>
    <dxf>
      <font>
        <color rgb="FF9C0006"/>
      </font>
      <fill>
        <patternFill>
          <bgColor rgb="FFFFC7CE"/>
        </patternFill>
      </fill>
    </dxf>
    <dxf>
      <font>
        <color rgb="FFFF0000"/>
      </font>
      <fill>
        <patternFill patternType="solid">
          <bgColor rgb="FF92D050"/>
        </patternFill>
      </fill>
    </dxf>
    <dxf>
      <font>
        <color rgb="FF9C0006"/>
      </font>
      <fill>
        <patternFill>
          <bgColor rgb="FFFFC7CE"/>
        </patternFill>
      </fill>
    </dxf>
    <dxf>
      <font>
        <color rgb="FF9C0006"/>
      </font>
      <fill>
        <patternFill>
          <bgColor rgb="FFFFC7CE"/>
        </patternFill>
      </fill>
    </dxf>
    <dxf>
      <font>
        <color rgb="FF9C0006"/>
      </font>
      <fill>
        <patternFill patternType="solid">
          <bgColor rgb="FF92D050"/>
        </patternFill>
      </fill>
    </dxf>
    <dxf>
      <font>
        <color rgb="FF9C0006"/>
      </font>
      <fill>
        <patternFill patternType="solid">
          <bgColor rgb="FF92D050"/>
        </patternFill>
      </fill>
    </dxf>
    <dxf>
      <font>
        <color rgb="FF9C0006"/>
      </font>
      <fill>
        <patternFill>
          <bgColor rgb="FFFFC7CE"/>
        </patternFill>
      </fill>
    </dxf>
    <dxf>
      <font>
        <color rgb="FF9C0006"/>
      </font>
      <fill>
        <patternFill>
          <bgColor rgb="FFFFC7CE"/>
        </patternFill>
      </fill>
    </dxf>
    <dxf>
      <font>
        <color rgb="FFFF0000"/>
      </font>
      <fill>
        <patternFill patternType="solid">
          <bgColor rgb="FF92D050"/>
        </patternFill>
      </fill>
    </dxf>
    <dxf>
      <font>
        <color rgb="FF9C0006"/>
      </font>
      <fill>
        <patternFill>
          <bgColor rgb="FFFFC7CE"/>
        </patternFill>
      </fill>
    </dxf>
    <dxf>
      <font>
        <color rgb="FF9C0006"/>
      </font>
      <fill>
        <patternFill>
          <bgColor rgb="FFFFC7CE"/>
        </patternFill>
      </fill>
    </dxf>
    <dxf>
      <font>
        <color rgb="FF9C0006"/>
      </font>
      <fill>
        <patternFill patternType="solid">
          <bgColor rgb="FF92D050"/>
        </patternFill>
      </fill>
    </dxf>
    <dxf>
      <font>
        <color rgb="FF9C0006"/>
      </font>
      <fill>
        <patternFill patternType="solid">
          <bgColor rgb="FF92D05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FF0000"/>
      </font>
      <fill>
        <patternFill patternType="solid">
          <bgColor rgb="FF92D050"/>
        </patternFill>
      </fill>
    </dxf>
    <dxf>
      <font>
        <color rgb="FF9C0006"/>
      </font>
      <fill>
        <patternFill>
          <bgColor rgb="FFFFC7CE"/>
        </patternFill>
      </fill>
    </dxf>
    <dxf>
      <font>
        <color rgb="FF9C0006"/>
      </font>
      <fill>
        <patternFill>
          <bgColor rgb="FFFFC7CE"/>
        </patternFill>
      </fill>
    </dxf>
    <dxf>
      <font>
        <color rgb="FF9C0006"/>
      </font>
      <fill>
        <patternFill patternType="solid">
          <bgColor rgb="FF92D050"/>
        </patternFill>
      </fill>
    </dxf>
    <dxf>
      <font>
        <color rgb="FF9C0006"/>
      </font>
      <fill>
        <patternFill patternType="solid">
          <bgColor rgb="FF92D050"/>
        </patternFill>
      </fill>
    </dxf>
    <dxf>
      <font>
        <color rgb="FF9C0006"/>
      </font>
      <fill>
        <patternFill>
          <bgColor rgb="FFFFC7CE"/>
        </patternFill>
      </fill>
    </dxf>
    <dxf>
      <font>
        <color rgb="FF9C0006"/>
      </font>
      <fill>
        <patternFill>
          <bgColor rgb="FFFFC7CE"/>
        </patternFill>
      </fill>
    </dxf>
    <dxf>
      <font>
        <color rgb="FFFF0000"/>
      </font>
      <fill>
        <patternFill patternType="solid">
          <bgColor rgb="FF92D050"/>
        </patternFill>
      </fill>
    </dxf>
    <dxf>
      <font>
        <color rgb="FF9C0006"/>
      </font>
      <fill>
        <patternFill>
          <bgColor rgb="FFFFC7CE"/>
        </patternFill>
      </fill>
    </dxf>
    <dxf>
      <font>
        <color rgb="FF9C0006"/>
      </font>
      <fill>
        <patternFill>
          <bgColor rgb="FFFFC7CE"/>
        </patternFill>
      </fill>
    </dxf>
    <dxf>
      <font>
        <color rgb="FF9C0006"/>
      </font>
      <fill>
        <patternFill patternType="solid">
          <bgColor rgb="FF92D050"/>
        </patternFill>
      </fill>
    </dxf>
    <dxf>
      <font>
        <color rgb="FF9C0006"/>
      </font>
      <fill>
        <patternFill patternType="solid">
          <bgColor rgb="FF92D050"/>
        </patternFill>
      </fill>
    </dxf>
    <dxf>
      <font>
        <color rgb="FF9C0006"/>
      </font>
      <fill>
        <patternFill>
          <bgColor rgb="FFFFC7CE"/>
        </patternFill>
      </fill>
    </dxf>
    <dxf>
      <font>
        <color rgb="FFFF0000"/>
      </font>
      <fill>
        <patternFill patternType="solid">
          <bgColor rgb="FFFFFFFF"/>
        </patternFill>
      </fill>
    </dxf>
  </dxfs>
  <tableStyles count="0" defaultTableStyle="TableStyleMedium2" defaultPivotStyle="PivotStyleLight16"/>
  <colors>
    <mruColors>
      <color rgb="FFFCD7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 Id="rId8" Type="http://schemas.openxmlformats.org/officeDocument/2006/relationships/worksheet" Target="worksheets/sheet8.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lv-LV"/>
              <a:t>Direct costs</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manualLayout>
          <c:layoutTarget val="inner"/>
          <c:xMode val="edge"/>
          <c:yMode val="edge"/>
          <c:x val="0.32488898347166062"/>
          <c:y val="0.19319358728807551"/>
          <c:w val="0.36463673121940837"/>
          <c:h val="0.45579591402426051"/>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1148-44EB-BE9A-E1507D3DA5E0}"/>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1148-44EB-BE9A-E1507D3DA5E0}"/>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1148-44EB-BE9A-E1507D3DA5E0}"/>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FRO!$A$22:$A$24</c:f>
              <c:strCache>
                <c:ptCount val="3"/>
                <c:pt idx="0">
                  <c:v>Materials, incl.delivery, and subcontractors</c:v>
                </c:pt>
                <c:pt idx="1">
                  <c:v>Salaries and taxes</c:v>
                </c:pt>
                <c:pt idx="2">
                  <c:v>Other costs </c:v>
                </c:pt>
              </c:strCache>
            </c:strRef>
          </c:cat>
          <c:val>
            <c:numRef>
              <c:f>FRO!$B$22:$B$24</c:f>
              <c:numCache>
                <c:formatCode>0%</c:formatCode>
                <c:ptCount val="3"/>
                <c:pt idx="0">
                  <c:v>0.34927340903291182</c:v>
                </c:pt>
                <c:pt idx="1">
                  <c:v>0.47772124658473941</c:v>
                </c:pt>
                <c:pt idx="2">
                  <c:v>0.17300534438234863</c:v>
                </c:pt>
              </c:numCache>
            </c:numRef>
          </c:val>
          <c:extLst>
            <c:ext xmlns:c16="http://schemas.microsoft.com/office/drawing/2014/chart" uri="{C3380CC4-5D6E-409C-BE32-E72D297353CC}">
              <c16:uniqueId val="{00000006-1148-44EB-BE9A-E1507D3DA5E0}"/>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lv-LV"/>
              <a:t>worked hours</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barChart>
        <c:barDir val="col"/>
        <c:grouping val="clustered"/>
        <c:varyColors val="0"/>
        <c:ser>
          <c:idx val="0"/>
          <c:order val="0"/>
          <c:tx>
            <c:v>planned</c:v>
          </c:tx>
          <c:spPr>
            <a:solidFill>
              <a:schemeClr val="accent1"/>
            </a:solidFill>
            <a:ln>
              <a:noFill/>
            </a:ln>
            <a:effectLst/>
          </c:spPr>
          <c:invertIfNegative val="0"/>
          <c:val>
            <c:numRef>
              <c:f>FRO!$Q$6:$Z$6</c:f>
              <c:numCache>
                <c:formatCode>0</c:formatCode>
                <c:ptCount val="3"/>
                <c:pt idx="0">
                  <c:v>188</c:v>
                </c:pt>
              </c:numCache>
            </c:numRef>
          </c:val>
          <c:extLst>
            <c:ext xmlns:c16="http://schemas.microsoft.com/office/drawing/2014/chart" uri="{C3380CC4-5D6E-409C-BE32-E72D297353CC}">
              <c16:uniqueId val="{00000002-956D-47E6-86FF-5D2572A3ADE2}"/>
            </c:ext>
          </c:extLst>
        </c:ser>
        <c:ser>
          <c:idx val="1"/>
          <c:order val="1"/>
          <c:tx>
            <c:v>in fact</c:v>
          </c:tx>
          <c:spPr>
            <a:solidFill>
              <a:srgbClr val="92D050"/>
            </a:solidFill>
            <a:ln>
              <a:noFill/>
            </a:ln>
            <a:effectLst/>
          </c:spPr>
          <c:invertIfNegative val="0"/>
          <c:val>
            <c:numRef>
              <c:f>FRO!$Q$7:$Z$7</c:f>
              <c:numCache>
                <c:formatCode>General</c:formatCode>
                <c:ptCount val="3"/>
                <c:pt idx="0">
                  <c:v>134</c:v>
                </c:pt>
                <c:pt idx="1">
                  <c:v>32.47</c:v>
                </c:pt>
              </c:numCache>
            </c:numRef>
          </c:val>
          <c:extLst>
            <c:ext xmlns:c16="http://schemas.microsoft.com/office/drawing/2014/chart" uri="{C3380CC4-5D6E-409C-BE32-E72D297353CC}">
              <c16:uniqueId val="{00000004-956D-47E6-86FF-5D2572A3ADE2}"/>
            </c:ext>
          </c:extLst>
        </c:ser>
        <c:dLbls>
          <c:showLegendKey val="0"/>
          <c:showVal val="0"/>
          <c:showCatName val="0"/>
          <c:showSerName val="0"/>
          <c:showPercent val="0"/>
          <c:showBubbleSize val="0"/>
        </c:dLbls>
        <c:gapWidth val="219"/>
        <c:overlap val="-27"/>
        <c:axId val="517937816"/>
        <c:axId val="517935296"/>
      </c:barChart>
      <c:catAx>
        <c:axId val="517937816"/>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17935296"/>
        <c:crosses val="autoZero"/>
        <c:auto val="1"/>
        <c:lblAlgn val="ctr"/>
        <c:lblOffset val="100"/>
        <c:noMultiLvlLbl val="0"/>
      </c:catAx>
      <c:valAx>
        <c:axId val="51793529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1793781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lv-LV"/>
              <a:t>travel and living costs</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barChart>
        <c:barDir val="col"/>
        <c:grouping val="clustered"/>
        <c:varyColors val="0"/>
        <c:ser>
          <c:idx val="0"/>
          <c:order val="0"/>
          <c:tx>
            <c:v>planned</c:v>
          </c:tx>
          <c:spPr>
            <a:solidFill>
              <a:schemeClr val="accent1"/>
            </a:solidFill>
            <a:ln>
              <a:noFill/>
            </a:ln>
            <a:effectLst/>
          </c:spPr>
          <c:invertIfNegative val="0"/>
          <c:val>
            <c:numRef>
              <c:f>FRO!$Q$22:$Z$22</c:f>
              <c:numCache>
                <c:formatCode>0</c:formatCode>
                <c:ptCount val="3"/>
                <c:pt idx="0">
                  <c:v>3400</c:v>
                </c:pt>
              </c:numCache>
            </c:numRef>
          </c:val>
          <c:extLst>
            <c:ext xmlns:c16="http://schemas.microsoft.com/office/drawing/2014/chart" uri="{C3380CC4-5D6E-409C-BE32-E72D297353CC}">
              <c16:uniqueId val="{00000002-4907-4778-87F7-CFB15805B3FD}"/>
            </c:ext>
          </c:extLst>
        </c:ser>
        <c:ser>
          <c:idx val="1"/>
          <c:order val="1"/>
          <c:tx>
            <c:v>in fact</c:v>
          </c:tx>
          <c:spPr>
            <a:solidFill>
              <a:srgbClr val="92D050"/>
            </a:solidFill>
            <a:ln>
              <a:noFill/>
            </a:ln>
            <a:effectLst/>
          </c:spPr>
          <c:invertIfNegative val="0"/>
          <c:val>
            <c:numRef>
              <c:f>FRO!$Q$23:$Z$23</c:f>
              <c:numCache>
                <c:formatCode>0</c:formatCode>
                <c:ptCount val="3"/>
                <c:pt idx="0">
                  <c:v>1245.83</c:v>
                </c:pt>
                <c:pt idx="2">
                  <c:v>203</c:v>
                </c:pt>
              </c:numCache>
            </c:numRef>
          </c:val>
          <c:extLst>
            <c:ext xmlns:c16="http://schemas.microsoft.com/office/drawing/2014/chart" uri="{C3380CC4-5D6E-409C-BE32-E72D297353CC}">
              <c16:uniqueId val="{00000004-4907-4778-87F7-CFB15805B3FD}"/>
            </c:ext>
          </c:extLst>
        </c:ser>
        <c:dLbls>
          <c:showLegendKey val="0"/>
          <c:showVal val="0"/>
          <c:showCatName val="0"/>
          <c:showSerName val="0"/>
          <c:showPercent val="0"/>
          <c:showBubbleSize val="0"/>
        </c:dLbls>
        <c:gapWidth val="219"/>
        <c:overlap val="-27"/>
        <c:axId val="686061944"/>
        <c:axId val="686056544"/>
      </c:barChart>
      <c:catAx>
        <c:axId val="686061944"/>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86056544"/>
        <c:crosses val="autoZero"/>
        <c:auto val="1"/>
        <c:lblAlgn val="ctr"/>
        <c:lblOffset val="100"/>
        <c:noMultiLvlLbl val="0"/>
      </c:catAx>
      <c:valAx>
        <c:axId val="68605654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860619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costs forecast accuracy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v>actual costs</c:v>
          </c:tx>
          <c:spPr>
            <a:solidFill>
              <a:srgbClr val="92D050"/>
            </a:solidFill>
            <a:ln>
              <a:noFill/>
            </a:ln>
            <a:effectLst/>
          </c:spPr>
          <c:invertIfNegative val="0"/>
          <c:cat>
            <c:strRef>
              <c:f>FRO!$A$22:$A$24</c:f>
              <c:strCache>
                <c:ptCount val="3"/>
                <c:pt idx="0">
                  <c:v>Materials, incl.delivery, and subcontractors</c:v>
                </c:pt>
                <c:pt idx="1">
                  <c:v>Salaries and taxes</c:v>
                </c:pt>
                <c:pt idx="2">
                  <c:v>Other costs </c:v>
                </c:pt>
              </c:strCache>
            </c:strRef>
          </c:cat>
          <c:val>
            <c:numRef>
              <c:f>FRO!$B$22:$B$24</c:f>
              <c:numCache>
                <c:formatCode>0%</c:formatCode>
                <c:ptCount val="3"/>
                <c:pt idx="0">
                  <c:v>0.34927340903291182</c:v>
                </c:pt>
                <c:pt idx="1">
                  <c:v>0.47772124658473941</c:v>
                </c:pt>
                <c:pt idx="2">
                  <c:v>0.17300534438234863</c:v>
                </c:pt>
              </c:numCache>
            </c:numRef>
          </c:val>
          <c:extLst>
            <c:ext xmlns:c16="http://schemas.microsoft.com/office/drawing/2014/chart" uri="{C3380CC4-5D6E-409C-BE32-E72D297353CC}">
              <c16:uniqueId val="{00000001-8026-4E3A-9FCC-B6F9E1F51CF5}"/>
            </c:ext>
          </c:extLst>
        </c:ser>
        <c:ser>
          <c:idx val="1"/>
          <c:order val="1"/>
          <c:tx>
            <c:v>planned costs</c:v>
          </c:tx>
          <c:spPr>
            <a:solidFill>
              <a:srgbClr val="2F75B5"/>
            </a:solidFill>
            <a:ln>
              <a:noFill/>
            </a:ln>
            <a:effectLst/>
          </c:spPr>
          <c:invertIfNegative val="0"/>
          <c:cat>
            <c:strRef>
              <c:f>FRO!$A$22:$A$24</c:f>
              <c:strCache>
                <c:ptCount val="3"/>
                <c:pt idx="0">
                  <c:v>Materials, incl.delivery, and subcontractors</c:v>
                </c:pt>
                <c:pt idx="1">
                  <c:v>Salaries and taxes</c:v>
                </c:pt>
                <c:pt idx="2">
                  <c:v>Other costs </c:v>
                </c:pt>
              </c:strCache>
            </c:strRef>
          </c:cat>
          <c:val>
            <c:numRef>
              <c:f>FRO!$C$22:$C$24</c:f>
              <c:numCache>
                <c:formatCode>0%</c:formatCode>
                <c:ptCount val="3"/>
                <c:pt idx="0">
                  <c:v>4.481213970289475E-2</c:v>
                </c:pt>
                <c:pt idx="1">
                  <c:v>0.3661195454857068</c:v>
                </c:pt>
                <c:pt idx="2">
                  <c:v>0.58906887216938775</c:v>
                </c:pt>
              </c:numCache>
            </c:numRef>
          </c:val>
          <c:extLst>
            <c:ext xmlns:c16="http://schemas.microsoft.com/office/drawing/2014/chart" uri="{C3380CC4-5D6E-409C-BE32-E72D297353CC}">
              <c16:uniqueId val="{00000003-8026-4E3A-9FCC-B6F9E1F51CF5}"/>
            </c:ext>
          </c:extLst>
        </c:ser>
        <c:dLbls>
          <c:showLegendKey val="0"/>
          <c:showVal val="0"/>
          <c:showCatName val="0"/>
          <c:showSerName val="0"/>
          <c:showPercent val="0"/>
          <c:showBubbleSize val="0"/>
        </c:dLbls>
        <c:gapWidth val="219"/>
        <c:overlap val="-27"/>
        <c:axId val="1326177799"/>
        <c:axId val="887412232"/>
      </c:barChart>
      <c:catAx>
        <c:axId val="132617779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87412232"/>
        <c:crosses val="autoZero"/>
        <c:auto val="1"/>
        <c:lblAlgn val="ctr"/>
        <c:lblOffset val="100"/>
        <c:noMultiLvlLbl val="0"/>
      </c:catAx>
      <c:valAx>
        <c:axId val="88741223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2617779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lv-LV"/>
              <a:t>Direct costs</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manualLayout>
          <c:layoutTarget val="inner"/>
          <c:xMode val="edge"/>
          <c:yMode val="edge"/>
          <c:x val="0.32488898347166062"/>
          <c:y val="0.19319358728807551"/>
          <c:w val="0.36463673121940837"/>
          <c:h val="0.45579591402426051"/>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1E80-4C37-8CEC-443C62089F7E}"/>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1E80-4C37-8CEC-443C62089F7E}"/>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1E80-4C37-8CEC-443C62089F7E}"/>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LULU!$A$22:$A$24</c:f>
              <c:strCache>
                <c:ptCount val="3"/>
                <c:pt idx="0">
                  <c:v>Materials, incl.delivery, and subcontractors</c:v>
                </c:pt>
                <c:pt idx="1">
                  <c:v>Salaries and taxes</c:v>
                </c:pt>
                <c:pt idx="2">
                  <c:v>Other costs </c:v>
                </c:pt>
              </c:strCache>
            </c:strRef>
          </c:cat>
          <c:val>
            <c:numRef>
              <c:f>LULU!$B$22:$B$24</c:f>
              <c:numCache>
                <c:formatCode>0%</c:formatCode>
                <c:ptCount val="3"/>
                <c:pt idx="0">
                  <c:v>0.69115842061651978</c:v>
                </c:pt>
                <c:pt idx="1">
                  <c:v>0.19510195700704552</c:v>
                </c:pt>
                <c:pt idx="2">
                  <c:v>0.11373962237643476</c:v>
                </c:pt>
              </c:numCache>
            </c:numRef>
          </c:val>
          <c:extLst>
            <c:ext xmlns:c16="http://schemas.microsoft.com/office/drawing/2014/chart" uri="{C3380CC4-5D6E-409C-BE32-E72D297353CC}">
              <c16:uniqueId val="{00000006-1E80-4C37-8CEC-443C62089F7E}"/>
            </c:ext>
          </c:extLst>
        </c:ser>
        <c:dLbls>
          <c:showLegendKey val="0"/>
          <c:showVal val="0"/>
          <c:showCatName val="0"/>
          <c:showSerName val="0"/>
          <c:showPercent val="0"/>
          <c:showBubbleSize val="0"/>
          <c:showLeaderLines val="1"/>
        </c:dLbls>
        <c:firstSliceAng val="0"/>
      </c:pie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worked hours</a:t>
            </a:r>
          </a:p>
        </c:rich>
      </c:tx>
      <c:layout>
        <c:manualLayout>
          <c:xMode val="edge"/>
          <c:yMode val="edge"/>
          <c:x val="0.41157633420822404"/>
          <c:y val="2.4305555555555556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v>planned</c:v>
          </c:tx>
          <c:spPr>
            <a:solidFill>
              <a:schemeClr val="accent1"/>
            </a:solidFill>
            <a:ln>
              <a:noFill/>
            </a:ln>
            <a:effectLst/>
          </c:spPr>
          <c:invertIfNegative val="0"/>
          <c:val>
            <c:numRef>
              <c:f>LULU!$M$6:$X$6</c:f>
              <c:numCache>
                <c:formatCode>0</c:formatCode>
                <c:ptCount val="4"/>
              </c:numCache>
            </c:numRef>
          </c:val>
          <c:extLst>
            <c:ext xmlns:c16="http://schemas.microsoft.com/office/drawing/2014/chart" uri="{C3380CC4-5D6E-409C-BE32-E72D297353CC}">
              <c16:uniqueId val="{00000001-A8FE-4F0C-A177-1583B43AE139}"/>
            </c:ext>
          </c:extLst>
        </c:ser>
        <c:ser>
          <c:idx val="1"/>
          <c:order val="1"/>
          <c:tx>
            <c:v>in fact</c:v>
          </c:tx>
          <c:spPr>
            <a:solidFill>
              <a:srgbClr val="92D050"/>
            </a:solidFill>
            <a:ln>
              <a:solidFill>
                <a:srgbClr val="92D050"/>
              </a:solidFill>
              <a:prstDash val="solid"/>
            </a:ln>
            <a:effectLst/>
          </c:spPr>
          <c:invertIfNegative val="0"/>
          <c:val>
            <c:numRef>
              <c:f>LULU!$M$7:$X$7</c:f>
              <c:numCache>
                <c:formatCode>0</c:formatCode>
                <c:ptCount val="4"/>
                <c:pt idx="0" formatCode="General">
                  <c:v>27.84</c:v>
                </c:pt>
                <c:pt idx="3" formatCode="General">
                  <c:v>27.84</c:v>
                </c:pt>
              </c:numCache>
            </c:numRef>
          </c:val>
          <c:extLst>
            <c:ext xmlns:c16="http://schemas.microsoft.com/office/drawing/2014/chart" uri="{C3380CC4-5D6E-409C-BE32-E72D297353CC}">
              <c16:uniqueId val="{00000003-A8FE-4F0C-A177-1583B43AE139}"/>
            </c:ext>
          </c:extLst>
        </c:ser>
        <c:dLbls>
          <c:showLegendKey val="0"/>
          <c:showVal val="0"/>
          <c:showCatName val="0"/>
          <c:showSerName val="0"/>
          <c:showPercent val="0"/>
          <c:showBubbleSize val="0"/>
        </c:dLbls>
        <c:gapWidth val="219"/>
        <c:overlap val="-27"/>
        <c:axId val="424314376"/>
        <c:axId val="424316424"/>
      </c:barChart>
      <c:catAx>
        <c:axId val="424314376"/>
        <c:scaling>
          <c:orientation val="minMax"/>
        </c:scaling>
        <c:delete val="1"/>
        <c:axPos val="b"/>
        <c:majorTickMark val="none"/>
        <c:minorTickMark val="none"/>
        <c:tickLblPos val="nextTo"/>
        <c:crossAx val="424316424"/>
        <c:crosses val="autoZero"/>
        <c:auto val="1"/>
        <c:lblAlgn val="ctr"/>
        <c:lblOffset val="100"/>
        <c:noMultiLvlLbl val="0"/>
      </c:catAx>
      <c:valAx>
        <c:axId val="42431642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2431437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travel costs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v>planned</c:v>
          </c:tx>
          <c:spPr>
            <a:solidFill>
              <a:schemeClr val="accent1"/>
            </a:solidFill>
            <a:ln>
              <a:noFill/>
            </a:ln>
            <a:effectLst/>
          </c:spPr>
          <c:invertIfNegative val="0"/>
          <c:val>
            <c:numRef>
              <c:f>LULU!$M$23:$X$23</c:f>
              <c:numCache>
                <c:formatCode>0</c:formatCode>
                <c:ptCount val="4"/>
                <c:pt idx="0">
                  <c:v>0</c:v>
                </c:pt>
                <c:pt idx="1">
                  <c:v>0</c:v>
                </c:pt>
                <c:pt idx="3">
                  <c:v>0</c:v>
                </c:pt>
              </c:numCache>
            </c:numRef>
          </c:val>
          <c:extLst>
            <c:ext xmlns:c16="http://schemas.microsoft.com/office/drawing/2014/chart" uri="{C3380CC4-5D6E-409C-BE32-E72D297353CC}">
              <c16:uniqueId val="{00000001-71D8-40C1-9F01-FCA54455A02A}"/>
            </c:ext>
          </c:extLst>
        </c:ser>
        <c:ser>
          <c:idx val="1"/>
          <c:order val="1"/>
          <c:tx>
            <c:v>in fact</c:v>
          </c:tx>
          <c:spPr>
            <a:solidFill>
              <a:srgbClr val="A9D08E"/>
            </a:solidFill>
            <a:ln>
              <a:solidFill>
                <a:srgbClr val="A9D08E"/>
              </a:solidFill>
              <a:prstDash val="solid"/>
            </a:ln>
            <a:effectLst/>
          </c:spPr>
          <c:invertIfNegative val="0"/>
          <c:val>
            <c:numRef>
              <c:f>LULU!$M$24:$X$24</c:f>
              <c:numCache>
                <c:formatCode>0</c:formatCode>
                <c:ptCount val="4"/>
                <c:pt idx="0">
                  <c:v>866.84</c:v>
                </c:pt>
                <c:pt idx="3" formatCode="General">
                  <c:v>866.84</c:v>
                </c:pt>
              </c:numCache>
            </c:numRef>
          </c:val>
          <c:extLst>
            <c:ext xmlns:c16="http://schemas.microsoft.com/office/drawing/2014/chart" uri="{C3380CC4-5D6E-409C-BE32-E72D297353CC}">
              <c16:uniqueId val="{00000003-71D8-40C1-9F01-FCA54455A02A}"/>
            </c:ext>
          </c:extLst>
        </c:ser>
        <c:dLbls>
          <c:showLegendKey val="0"/>
          <c:showVal val="0"/>
          <c:showCatName val="0"/>
          <c:showSerName val="0"/>
          <c:showPercent val="0"/>
          <c:showBubbleSize val="0"/>
        </c:dLbls>
        <c:gapWidth val="219"/>
        <c:overlap val="-27"/>
        <c:axId val="204835336"/>
        <c:axId val="204837384"/>
      </c:barChart>
      <c:catAx>
        <c:axId val="204835336"/>
        <c:scaling>
          <c:orientation val="minMax"/>
        </c:scaling>
        <c:delete val="1"/>
        <c:axPos val="b"/>
        <c:majorTickMark val="none"/>
        <c:minorTickMark val="none"/>
        <c:tickLblPos val="nextTo"/>
        <c:crossAx val="204837384"/>
        <c:crosses val="autoZero"/>
        <c:auto val="1"/>
        <c:lblAlgn val="ctr"/>
        <c:lblOffset val="100"/>
        <c:noMultiLvlLbl val="0"/>
      </c:catAx>
      <c:valAx>
        <c:axId val="20483738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48353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cost forecast accuracy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v>actual costs</c:v>
          </c:tx>
          <c:spPr>
            <a:solidFill>
              <a:srgbClr val="92D050"/>
            </a:solidFill>
            <a:ln>
              <a:noFill/>
            </a:ln>
            <a:effectLst/>
          </c:spPr>
          <c:invertIfNegative val="0"/>
          <c:cat>
            <c:strRef>
              <c:f>LULU!$A$22:$A$24</c:f>
              <c:strCache>
                <c:ptCount val="3"/>
                <c:pt idx="0">
                  <c:v>Materials, incl.delivery, and subcontractors</c:v>
                </c:pt>
                <c:pt idx="1">
                  <c:v>Salaries and taxes</c:v>
                </c:pt>
                <c:pt idx="2">
                  <c:v>Other costs </c:v>
                </c:pt>
              </c:strCache>
            </c:strRef>
          </c:cat>
          <c:val>
            <c:numRef>
              <c:f>LULU!$B$22:$B$24</c:f>
              <c:numCache>
                <c:formatCode>0%</c:formatCode>
                <c:ptCount val="3"/>
                <c:pt idx="0">
                  <c:v>0.69115842061651978</c:v>
                </c:pt>
                <c:pt idx="1">
                  <c:v>0.19510195700704552</c:v>
                </c:pt>
                <c:pt idx="2">
                  <c:v>0.11373962237643476</c:v>
                </c:pt>
              </c:numCache>
            </c:numRef>
          </c:val>
          <c:extLst>
            <c:ext xmlns:c16="http://schemas.microsoft.com/office/drawing/2014/chart" uri="{C3380CC4-5D6E-409C-BE32-E72D297353CC}">
              <c16:uniqueId val="{00000001-EA5E-4E1D-93A2-DF15E8A60D61}"/>
            </c:ext>
          </c:extLst>
        </c:ser>
        <c:ser>
          <c:idx val="1"/>
          <c:order val="1"/>
          <c:tx>
            <c:v>planned costs</c:v>
          </c:tx>
          <c:spPr>
            <a:solidFill>
              <a:srgbClr val="2F75B5"/>
            </a:solidFill>
            <a:ln>
              <a:noFill/>
            </a:ln>
            <a:effectLst/>
          </c:spPr>
          <c:invertIfNegative val="0"/>
          <c:cat>
            <c:strRef>
              <c:f>LULU!$A$22:$A$24</c:f>
              <c:strCache>
                <c:ptCount val="3"/>
                <c:pt idx="0">
                  <c:v>Materials, incl.delivery, and subcontractors</c:v>
                </c:pt>
                <c:pt idx="1">
                  <c:v>Salaries and taxes</c:v>
                </c:pt>
                <c:pt idx="2">
                  <c:v>Other costs </c:v>
                </c:pt>
              </c:strCache>
            </c:strRef>
          </c:cat>
          <c:val>
            <c:numRef>
              <c:f>LULU!$C$22:$C$24</c:f>
              <c:numCache>
                <c:formatCode>0%</c:formatCode>
                <c:ptCount val="3"/>
                <c:pt idx="0">
                  <c:v>0</c:v>
                </c:pt>
                <c:pt idx="1">
                  <c:v>0</c:v>
                </c:pt>
                <c:pt idx="2">
                  <c:v>0</c:v>
                </c:pt>
              </c:numCache>
            </c:numRef>
          </c:val>
          <c:extLst>
            <c:ext xmlns:c16="http://schemas.microsoft.com/office/drawing/2014/chart" uri="{C3380CC4-5D6E-409C-BE32-E72D297353CC}">
              <c16:uniqueId val="{00000003-EA5E-4E1D-93A2-DF15E8A60D61}"/>
            </c:ext>
          </c:extLst>
        </c:ser>
        <c:dLbls>
          <c:showLegendKey val="0"/>
          <c:showVal val="0"/>
          <c:showCatName val="0"/>
          <c:showSerName val="0"/>
          <c:showPercent val="0"/>
          <c:showBubbleSize val="0"/>
        </c:dLbls>
        <c:gapWidth val="219"/>
        <c:overlap val="-27"/>
        <c:axId val="1699838984"/>
        <c:axId val="844964871"/>
      </c:barChart>
      <c:catAx>
        <c:axId val="16998389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964871"/>
        <c:crosses val="autoZero"/>
        <c:auto val="1"/>
        <c:lblAlgn val="ctr"/>
        <c:lblOffset val="100"/>
        <c:noMultiLvlLbl val="0"/>
      </c:catAx>
      <c:valAx>
        <c:axId val="844964871"/>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9983898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actual costs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32488898347166062"/>
          <c:y val="0.19319358728807551"/>
          <c:w val="0.36463673121940837"/>
          <c:h val="0.45579591402426051"/>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7DC7-42DD-B458-5CAA590DD9F2}"/>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7DC7-42DD-B458-5CAA590DD9F2}"/>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7DC7-42DD-B458-5CAA590DD9F2}"/>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INS!$A$23:$A$25</c:f>
              <c:strCache>
                <c:ptCount val="3"/>
                <c:pt idx="0">
                  <c:v>Materials, incl.delivery, and subcontractors</c:v>
                </c:pt>
                <c:pt idx="1">
                  <c:v>Salaries and taxes</c:v>
                </c:pt>
                <c:pt idx="2">
                  <c:v>Other costs </c:v>
                </c:pt>
              </c:strCache>
            </c:strRef>
          </c:cat>
          <c:val>
            <c:numRef>
              <c:f>INS!$B$23:$B$25</c:f>
              <c:numCache>
                <c:formatCode>0%</c:formatCode>
                <c:ptCount val="3"/>
                <c:pt idx="0">
                  <c:v>0.53867147273548355</c:v>
                </c:pt>
                <c:pt idx="1">
                  <c:v>0.41451498610073795</c:v>
                </c:pt>
                <c:pt idx="2">
                  <c:v>0.10822945393589779</c:v>
                </c:pt>
              </c:numCache>
            </c:numRef>
          </c:val>
          <c:extLst>
            <c:ext xmlns:c16="http://schemas.microsoft.com/office/drawing/2014/chart" uri="{C3380CC4-5D6E-409C-BE32-E72D297353CC}">
              <c16:uniqueId val="{00000006-7DC7-42DD-B458-5CAA590DD9F2}"/>
            </c:ext>
          </c:extLst>
        </c:ser>
        <c:dLbls>
          <c:showLegendKey val="0"/>
          <c:showVal val="0"/>
          <c:showCatName val="0"/>
          <c:showSerName val="0"/>
          <c:showPercent val="0"/>
          <c:showBubbleSize val="0"/>
          <c:showLeaderLines val="1"/>
        </c:dLbls>
        <c:firstSliceAng val="0"/>
      </c:pie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worked hours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val>
            <c:numRef>
              <c:f>INS!$M$6:$W$6</c:f>
              <c:numCache>
                <c:formatCode>0</c:formatCode>
                <c:ptCount val="2"/>
                <c:pt idx="0">
                  <c:v>201</c:v>
                </c:pt>
                <c:pt idx="1">
                  <c:v>201</c:v>
                </c:pt>
              </c:numCache>
            </c:numRef>
          </c:val>
          <c:extLst>
            <c:ext xmlns:c16="http://schemas.microsoft.com/office/drawing/2014/chart" uri="{C3380CC4-5D6E-409C-BE32-E72D297353CC}">
              <c16:uniqueId val="{0000000A-3D9D-41C4-91BE-F4489983BE52}"/>
            </c:ext>
          </c:extLst>
        </c:ser>
        <c:ser>
          <c:idx val="1"/>
          <c:order val="1"/>
          <c:spPr>
            <a:solidFill>
              <a:srgbClr val="92D050"/>
            </a:solidFill>
            <a:ln>
              <a:noFill/>
            </a:ln>
            <a:effectLst/>
          </c:spPr>
          <c:invertIfNegative val="0"/>
          <c:val>
            <c:numRef>
              <c:f>INS!$M$7:$W$7</c:f>
              <c:numCache>
                <c:formatCode>0</c:formatCode>
                <c:ptCount val="2"/>
                <c:pt idx="0" formatCode="General">
                  <c:v>223.47</c:v>
                </c:pt>
                <c:pt idx="1">
                  <c:v>211.73</c:v>
                </c:pt>
              </c:numCache>
            </c:numRef>
          </c:val>
          <c:extLst>
            <c:ext xmlns:c16="http://schemas.microsoft.com/office/drawing/2014/chart" uri="{C3380CC4-5D6E-409C-BE32-E72D297353CC}">
              <c16:uniqueId val="{0000000C-3D9D-41C4-91BE-F4489983BE52}"/>
            </c:ext>
          </c:extLst>
        </c:ser>
        <c:dLbls>
          <c:showLegendKey val="0"/>
          <c:showVal val="0"/>
          <c:showCatName val="0"/>
          <c:showSerName val="0"/>
          <c:showPercent val="0"/>
          <c:showBubbleSize val="0"/>
        </c:dLbls>
        <c:gapWidth val="219"/>
        <c:overlap val="-27"/>
        <c:axId val="79739399"/>
        <c:axId val="79745543"/>
      </c:barChart>
      <c:catAx>
        <c:axId val="79739399"/>
        <c:scaling>
          <c:orientation val="minMax"/>
        </c:scaling>
        <c:delete val="1"/>
        <c:axPos val="b"/>
        <c:numFmt formatCode="0" sourceLinked="1"/>
        <c:majorTickMark val="none"/>
        <c:minorTickMark val="none"/>
        <c:tickLblPos val="nextTo"/>
        <c:crossAx val="79745543"/>
        <c:crosses val="autoZero"/>
        <c:auto val="1"/>
        <c:lblAlgn val="ctr"/>
        <c:lblOffset val="100"/>
        <c:noMultiLvlLbl val="0"/>
      </c:catAx>
      <c:valAx>
        <c:axId val="7974554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9739399"/>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spPr>
            <a:solidFill>
              <a:schemeClr val="accent1"/>
            </a:solidFill>
            <a:ln>
              <a:noFill/>
            </a:ln>
            <a:effectLst/>
          </c:spPr>
          <c:invertIfNegative val="0"/>
          <c:val>
            <c:numRef>
              <c:f>INS!$M$23:$W$23</c:f>
              <c:numCache>
                <c:formatCode>0</c:formatCode>
                <c:ptCount val="2"/>
                <c:pt idx="0">
                  <c:v>2500</c:v>
                </c:pt>
                <c:pt idx="1">
                  <c:v>2500</c:v>
                </c:pt>
              </c:numCache>
            </c:numRef>
          </c:val>
          <c:extLst>
            <c:ext xmlns:c16="http://schemas.microsoft.com/office/drawing/2014/chart" uri="{C3380CC4-5D6E-409C-BE32-E72D297353CC}">
              <c16:uniqueId val="{0000000A-0235-4CED-96BB-87F051B7B97E}"/>
            </c:ext>
          </c:extLst>
        </c:ser>
        <c:ser>
          <c:idx val="1"/>
          <c:order val="1"/>
          <c:spPr>
            <a:solidFill>
              <a:srgbClr val="92D050"/>
            </a:solidFill>
            <a:ln>
              <a:noFill/>
            </a:ln>
            <a:effectLst/>
          </c:spPr>
          <c:invertIfNegative val="0"/>
          <c:val>
            <c:numRef>
              <c:f>INS!$M$24:$W$24</c:f>
              <c:numCache>
                <c:formatCode>0</c:formatCode>
                <c:ptCount val="2"/>
                <c:pt idx="0">
                  <c:v>2981.8500000000004</c:v>
                </c:pt>
                <c:pt idx="1">
                  <c:v>240.35000000000002</c:v>
                </c:pt>
              </c:numCache>
            </c:numRef>
          </c:val>
          <c:extLst>
            <c:ext xmlns:c16="http://schemas.microsoft.com/office/drawing/2014/chart" uri="{C3380CC4-5D6E-409C-BE32-E72D297353CC}">
              <c16:uniqueId val="{0000000C-0235-4CED-96BB-87F051B7B97E}"/>
            </c:ext>
          </c:extLst>
        </c:ser>
        <c:dLbls>
          <c:showLegendKey val="0"/>
          <c:showVal val="0"/>
          <c:showCatName val="0"/>
          <c:showSerName val="0"/>
          <c:showPercent val="0"/>
          <c:showBubbleSize val="0"/>
        </c:dLbls>
        <c:gapWidth val="219"/>
        <c:overlap val="-27"/>
        <c:axId val="79697927"/>
        <c:axId val="1081955848"/>
      </c:barChart>
      <c:catAx>
        <c:axId val="79697927"/>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81955848"/>
        <c:crosses val="autoZero"/>
        <c:auto val="1"/>
        <c:lblAlgn val="ctr"/>
        <c:lblOffset val="100"/>
        <c:noMultiLvlLbl val="0"/>
      </c:catAx>
      <c:valAx>
        <c:axId val="108195584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9697927"/>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costs forecast accuracy</a:t>
            </a:r>
          </a:p>
        </c:rich>
      </c:tx>
      <c:layout>
        <c:manualLayout>
          <c:xMode val="edge"/>
          <c:yMode val="edge"/>
          <c:x val="0.41157633420822404"/>
          <c:y val="2.7777777777777776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v>actual costs</c:v>
          </c:tx>
          <c:spPr>
            <a:solidFill>
              <a:srgbClr val="92D050"/>
            </a:solidFill>
            <a:ln>
              <a:noFill/>
            </a:ln>
            <a:effectLst/>
          </c:spPr>
          <c:invertIfNegative val="0"/>
          <c:cat>
            <c:strRef>
              <c:f>INS!$A$23:$A$25</c:f>
              <c:strCache>
                <c:ptCount val="3"/>
                <c:pt idx="0">
                  <c:v>Materials, incl.delivery, and subcontractors</c:v>
                </c:pt>
                <c:pt idx="1">
                  <c:v>Salaries and taxes</c:v>
                </c:pt>
                <c:pt idx="2">
                  <c:v>Other costs </c:v>
                </c:pt>
              </c:strCache>
            </c:strRef>
          </c:cat>
          <c:val>
            <c:numRef>
              <c:f>INS!$B$23:$B$25</c:f>
              <c:numCache>
                <c:formatCode>0%</c:formatCode>
                <c:ptCount val="3"/>
                <c:pt idx="0">
                  <c:v>0.53867147273548355</c:v>
                </c:pt>
                <c:pt idx="1">
                  <c:v>0.41451498610073795</c:v>
                </c:pt>
                <c:pt idx="2">
                  <c:v>0.10822945393589779</c:v>
                </c:pt>
              </c:numCache>
            </c:numRef>
          </c:val>
          <c:extLst>
            <c:ext xmlns:c16="http://schemas.microsoft.com/office/drawing/2014/chart" uri="{C3380CC4-5D6E-409C-BE32-E72D297353CC}">
              <c16:uniqueId val="{00000001-CDA5-4399-9401-556F77329989}"/>
            </c:ext>
          </c:extLst>
        </c:ser>
        <c:ser>
          <c:idx val="1"/>
          <c:order val="1"/>
          <c:tx>
            <c:v>planned costs</c:v>
          </c:tx>
          <c:spPr>
            <a:solidFill>
              <a:srgbClr val="2F75B5"/>
            </a:solidFill>
            <a:ln>
              <a:noFill/>
            </a:ln>
            <a:effectLst/>
          </c:spPr>
          <c:invertIfNegative val="0"/>
          <c:cat>
            <c:strRef>
              <c:f>INS!$A$23:$A$25</c:f>
              <c:strCache>
                <c:ptCount val="3"/>
                <c:pt idx="0">
                  <c:v>Materials, incl.delivery, and subcontractors</c:v>
                </c:pt>
                <c:pt idx="1">
                  <c:v>Salaries and taxes</c:v>
                </c:pt>
                <c:pt idx="2">
                  <c:v>Other costs </c:v>
                </c:pt>
              </c:strCache>
            </c:strRef>
          </c:cat>
          <c:val>
            <c:numRef>
              <c:f>INS!$C$23:$C$25</c:f>
              <c:numCache>
                <c:formatCode>0%</c:formatCode>
                <c:ptCount val="3"/>
                <c:pt idx="0">
                  <c:v>0.1514266406995784</c:v>
                </c:pt>
                <c:pt idx="1">
                  <c:v>0.27132009693165754</c:v>
                </c:pt>
                <c:pt idx="2">
                  <c:v>0.58166064845182031</c:v>
                </c:pt>
              </c:numCache>
            </c:numRef>
          </c:val>
          <c:extLst>
            <c:ext xmlns:c16="http://schemas.microsoft.com/office/drawing/2014/chart" uri="{C3380CC4-5D6E-409C-BE32-E72D297353CC}">
              <c16:uniqueId val="{00000003-CDA5-4399-9401-556F77329989}"/>
            </c:ext>
          </c:extLst>
        </c:ser>
        <c:dLbls>
          <c:showLegendKey val="0"/>
          <c:showVal val="0"/>
          <c:showCatName val="0"/>
          <c:showSerName val="0"/>
          <c:showPercent val="0"/>
          <c:showBubbleSize val="0"/>
        </c:dLbls>
        <c:gapWidth val="219"/>
        <c:overlap val="-27"/>
        <c:axId val="1879578120"/>
        <c:axId val="1879580168"/>
      </c:barChart>
      <c:catAx>
        <c:axId val="18795781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79580168"/>
        <c:crosses val="autoZero"/>
        <c:auto val="1"/>
        <c:lblAlgn val="ctr"/>
        <c:lblOffset val="100"/>
        <c:noMultiLvlLbl val="0"/>
      </c:catAx>
      <c:valAx>
        <c:axId val="187958016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7957812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actual costs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32488898347166062"/>
          <c:y val="0.19319358728807551"/>
          <c:w val="0.36463673121940837"/>
          <c:h val="0.45579591402426051"/>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5120-4047-A12F-976F49A5773B}"/>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5120-4047-A12F-976F49A5773B}"/>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5120-4047-A12F-976F49A5773B}"/>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AKR!$A$23:$A$25</c:f>
              <c:strCache>
                <c:ptCount val="3"/>
                <c:pt idx="0">
                  <c:v>Materials, incl.delivery, and subcontractors</c:v>
                </c:pt>
                <c:pt idx="1">
                  <c:v>Salaries and taxes</c:v>
                </c:pt>
                <c:pt idx="2">
                  <c:v>Other costs </c:v>
                </c:pt>
              </c:strCache>
            </c:strRef>
          </c:cat>
          <c:val>
            <c:numRef>
              <c:f>AKR!$B$23:$B$25</c:f>
              <c:numCache>
                <c:formatCode>0%</c:formatCode>
                <c:ptCount val="3"/>
                <c:pt idx="0">
                  <c:v>0.21685792628467923</c:v>
                </c:pt>
                <c:pt idx="1">
                  <c:v>0.75182658179947304</c:v>
                </c:pt>
                <c:pt idx="2">
                  <c:v>3.1315491915847808E-2</c:v>
                </c:pt>
              </c:numCache>
            </c:numRef>
          </c:val>
          <c:extLst>
            <c:ext xmlns:c16="http://schemas.microsoft.com/office/drawing/2014/chart" uri="{C3380CC4-5D6E-409C-BE32-E72D297353CC}">
              <c16:uniqueId val="{00000006-5120-4047-A12F-976F49A5773B}"/>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lv-LV"/>
              <a:t>worked</a:t>
            </a:r>
            <a:r>
              <a:rPr lang="lv-LV" baseline="0"/>
              <a:t> hours</a:t>
            </a:r>
            <a:endParaRPr lang="en-GB"/>
          </a:p>
        </c:rich>
      </c:tx>
      <c:layout>
        <c:manualLayout>
          <c:xMode val="edge"/>
          <c:yMode val="edge"/>
          <c:x val="0.21831233595800525"/>
          <c:y val="3.7037037037037035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barChart>
        <c:barDir val="col"/>
        <c:grouping val="clustered"/>
        <c:varyColors val="0"/>
        <c:ser>
          <c:idx val="0"/>
          <c:order val="0"/>
          <c:tx>
            <c:v>planned</c:v>
          </c:tx>
          <c:spPr>
            <a:solidFill>
              <a:schemeClr val="accent1"/>
            </a:solidFill>
            <a:ln>
              <a:noFill/>
            </a:ln>
            <a:effectLst/>
          </c:spPr>
          <c:invertIfNegative val="0"/>
          <c:val>
            <c:numRef>
              <c:f>AKR!$N$6:$R$6</c:f>
              <c:numCache>
                <c:formatCode>0</c:formatCode>
                <c:ptCount val="2"/>
                <c:pt idx="0">
                  <c:v>0</c:v>
                </c:pt>
                <c:pt idx="1">
                  <c:v>0</c:v>
                </c:pt>
              </c:numCache>
            </c:numRef>
          </c:val>
          <c:extLst>
            <c:ext xmlns:c16="http://schemas.microsoft.com/office/drawing/2014/chart" uri="{C3380CC4-5D6E-409C-BE32-E72D297353CC}">
              <c16:uniqueId val="{00000000-293F-44E3-B4DA-413AD3E524D1}"/>
            </c:ext>
          </c:extLst>
        </c:ser>
        <c:ser>
          <c:idx val="1"/>
          <c:order val="1"/>
          <c:tx>
            <c:v>in fact</c:v>
          </c:tx>
          <c:spPr>
            <a:solidFill>
              <a:srgbClr val="92D050"/>
            </a:solidFill>
            <a:ln>
              <a:noFill/>
            </a:ln>
            <a:effectLst/>
          </c:spPr>
          <c:invertIfNegative val="0"/>
          <c:val>
            <c:numRef>
              <c:f>AKR!$N$7:$R$7</c:f>
              <c:numCache>
                <c:formatCode>0</c:formatCode>
                <c:ptCount val="2"/>
                <c:pt idx="0" formatCode="General">
                  <c:v>278.93</c:v>
                </c:pt>
                <c:pt idx="1">
                  <c:v>5.5</c:v>
                </c:pt>
              </c:numCache>
            </c:numRef>
          </c:val>
          <c:extLst>
            <c:ext xmlns:c16="http://schemas.microsoft.com/office/drawing/2014/chart" uri="{C3380CC4-5D6E-409C-BE32-E72D297353CC}">
              <c16:uniqueId val="{00000001-293F-44E3-B4DA-413AD3E524D1}"/>
            </c:ext>
          </c:extLst>
        </c:ser>
        <c:dLbls>
          <c:showLegendKey val="0"/>
          <c:showVal val="0"/>
          <c:showCatName val="0"/>
          <c:showSerName val="0"/>
          <c:showPercent val="0"/>
          <c:showBubbleSize val="0"/>
        </c:dLbls>
        <c:gapWidth val="219"/>
        <c:overlap val="-27"/>
        <c:axId val="465987584"/>
        <c:axId val="465986272"/>
      </c:barChart>
      <c:catAx>
        <c:axId val="465987584"/>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65986272"/>
        <c:crosses val="autoZero"/>
        <c:auto val="1"/>
        <c:lblAlgn val="ctr"/>
        <c:lblOffset val="100"/>
        <c:noMultiLvlLbl val="0"/>
      </c:catAx>
      <c:valAx>
        <c:axId val="46598627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65987584"/>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lv-LV"/>
              <a:t>travel</a:t>
            </a:r>
            <a:r>
              <a:rPr lang="lv-LV" baseline="0"/>
              <a:t> and living costs</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barChart>
        <c:barDir val="col"/>
        <c:grouping val="clustered"/>
        <c:varyColors val="0"/>
        <c:ser>
          <c:idx val="0"/>
          <c:order val="0"/>
          <c:tx>
            <c:v>planned</c:v>
          </c:tx>
          <c:spPr>
            <a:solidFill>
              <a:schemeClr val="accent1"/>
            </a:solidFill>
            <a:ln>
              <a:noFill/>
            </a:ln>
            <a:effectLst/>
          </c:spPr>
          <c:invertIfNegative val="0"/>
          <c:val>
            <c:numRef>
              <c:f>AKR!$N$24:$R$24</c:f>
              <c:numCache>
                <c:formatCode>0</c:formatCode>
                <c:ptCount val="2"/>
                <c:pt idx="0">
                  <c:v>0</c:v>
                </c:pt>
              </c:numCache>
            </c:numRef>
          </c:val>
          <c:extLst>
            <c:ext xmlns:c16="http://schemas.microsoft.com/office/drawing/2014/chart" uri="{C3380CC4-5D6E-409C-BE32-E72D297353CC}">
              <c16:uniqueId val="{00000000-7A48-4EE8-8353-D4868D277479}"/>
            </c:ext>
          </c:extLst>
        </c:ser>
        <c:ser>
          <c:idx val="1"/>
          <c:order val="1"/>
          <c:tx>
            <c:v>in fact</c:v>
          </c:tx>
          <c:spPr>
            <a:solidFill>
              <a:srgbClr val="92D050"/>
            </a:solidFill>
            <a:ln>
              <a:noFill/>
            </a:ln>
            <a:effectLst/>
          </c:spPr>
          <c:invertIfNegative val="0"/>
          <c:val>
            <c:numRef>
              <c:f>AKR!$N$25:$R$25</c:f>
              <c:numCache>
                <c:formatCode>0</c:formatCode>
                <c:ptCount val="2"/>
                <c:pt idx="0">
                  <c:v>0</c:v>
                </c:pt>
              </c:numCache>
            </c:numRef>
          </c:val>
          <c:extLst>
            <c:ext xmlns:c16="http://schemas.microsoft.com/office/drawing/2014/chart" uri="{C3380CC4-5D6E-409C-BE32-E72D297353CC}">
              <c16:uniqueId val="{00000001-7A48-4EE8-8353-D4868D277479}"/>
            </c:ext>
          </c:extLst>
        </c:ser>
        <c:dLbls>
          <c:showLegendKey val="0"/>
          <c:showVal val="0"/>
          <c:showCatName val="0"/>
          <c:showSerName val="0"/>
          <c:showPercent val="0"/>
          <c:showBubbleSize val="0"/>
        </c:dLbls>
        <c:gapWidth val="219"/>
        <c:overlap val="-27"/>
        <c:axId val="696553480"/>
        <c:axId val="696554792"/>
      </c:barChart>
      <c:catAx>
        <c:axId val="696553480"/>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96554792"/>
        <c:crosses val="autoZero"/>
        <c:auto val="1"/>
        <c:lblAlgn val="ctr"/>
        <c:lblOffset val="100"/>
        <c:noMultiLvlLbl val="0"/>
      </c:catAx>
      <c:valAx>
        <c:axId val="69655479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9655348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costs forecast accuracy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v>actual costs</c:v>
          </c:tx>
          <c:spPr>
            <a:solidFill>
              <a:srgbClr val="92D050"/>
            </a:solidFill>
            <a:ln>
              <a:noFill/>
            </a:ln>
            <a:effectLst/>
          </c:spPr>
          <c:invertIfNegative val="0"/>
          <c:cat>
            <c:strRef>
              <c:f>AKR!$A$23:$A$25</c:f>
              <c:strCache>
                <c:ptCount val="3"/>
                <c:pt idx="0">
                  <c:v>Materials, incl.delivery, and subcontractors</c:v>
                </c:pt>
                <c:pt idx="1">
                  <c:v>Salaries and taxes</c:v>
                </c:pt>
                <c:pt idx="2">
                  <c:v>Other costs </c:v>
                </c:pt>
              </c:strCache>
            </c:strRef>
          </c:cat>
          <c:val>
            <c:numRef>
              <c:f>AKR!$B$23:$B$25</c:f>
              <c:numCache>
                <c:formatCode>0%</c:formatCode>
                <c:ptCount val="3"/>
                <c:pt idx="0">
                  <c:v>0.21685792628467923</c:v>
                </c:pt>
                <c:pt idx="1">
                  <c:v>0.75182658179947304</c:v>
                </c:pt>
                <c:pt idx="2">
                  <c:v>3.1315491915847808E-2</c:v>
                </c:pt>
              </c:numCache>
            </c:numRef>
          </c:val>
          <c:extLst>
            <c:ext xmlns:c16="http://schemas.microsoft.com/office/drawing/2014/chart" uri="{C3380CC4-5D6E-409C-BE32-E72D297353CC}">
              <c16:uniqueId val="{00000001-9B1B-4881-83FD-449B3D8E774D}"/>
            </c:ext>
          </c:extLst>
        </c:ser>
        <c:ser>
          <c:idx val="1"/>
          <c:order val="1"/>
          <c:tx>
            <c:v>planned costs</c:v>
          </c:tx>
          <c:spPr>
            <a:solidFill>
              <a:srgbClr val="2F75B5"/>
            </a:solidFill>
            <a:ln>
              <a:solidFill>
                <a:srgbClr val="0070BF"/>
              </a:solidFill>
              <a:prstDash val="solid"/>
            </a:ln>
            <a:effectLst/>
          </c:spPr>
          <c:invertIfNegative val="0"/>
          <c:cat>
            <c:strRef>
              <c:f>AKR!$A$23:$A$25</c:f>
              <c:strCache>
                <c:ptCount val="3"/>
                <c:pt idx="0">
                  <c:v>Materials, incl.delivery, and subcontractors</c:v>
                </c:pt>
                <c:pt idx="1">
                  <c:v>Salaries and taxes</c:v>
                </c:pt>
                <c:pt idx="2">
                  <c:v>Other costs </c:v>
                </c:pt>
              </c:strCache>
            </c:strRef>
          </c:cat>
          <c:val>
            <c:numRef>
              <c:f>AKR!$C$23:$C$25</c:f>
              <c:numCache>
                <c:formatCode>0%</c:formatCode>
                <c:ptCount val="3"/>
              </c:numCache>
            </c:numRef>
          </c:val>
          <c:extLst>
            <c:ext xmlns:c16="http://schemas.microsoft.com/office/drawing/2014/chart" uri="{C3380CC4-5D6E-409C-BE32-E72D297353CC}">
              <c16:uniqueId val="{00000003-9B1B-4881-83FD-449B3D8E774D}"/>
            </c:ext>
          </c:extLst>
        </c:ser>
        <c:dLbls>
          <c:showLegendKey val="0"/>
          <c:showVal val="0"/>
          <c:showCatName val="0"/>
          <c:showSerName val="0"/>
          <c:showPercent val="0"/>
          <c:showBubbleSize val="0"/>
        </c:dLbls>
        <c:gapWidth val="219"/>
        <c:overlap val="-27"/>
        <c:axId val="253248008"/>
        <c:axId val="253250056"/>
      </c:barChart>
      <c:catAx>
        <c:axId val="2532480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53250056"/>
        <c:crosses val="autoZero"/>
        <c:auto val="1"/>
        <c:lblAlgn val="ctr"/>
        <c:lblOffset val="100"/>
        <c:noMultiLvlLbl val="0"/>
      </c:catAx>
      <c:valAx>
        <c:axId val="25325005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5324800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lv-LV"/>
              <a:t>execution</a:t>
            </a:r>
            <a:r>
              <a:rPr lang="lv-LV" baseline="0"/>
              <a:t> of contracts</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barChart>
        <c:barDir val="col"/>
        <c:grouping val="clustered"/>
        <c:varyColors val="0"/>
        <c:ser>
          <c:idx val="1"/>
          <c:order val="1"/>
          <c:tx>
            <c:v>in fact</c:v>
          </c:tx>
          <c:spPr>
            <a:solidFill>
              <a:srgbClr val="92D050"/>
            </a:solidFill>
            <a:ln>
              <a:noFill/>
            </a:ln>
            <a:effectLst/>
          </c:spPr>
          <c:invertIfNegative val="0"/>
          <c:val>
            <c:numRef>
              <c:f>PAN!#REF!</c:f>
              <c:numCache>
                <c:formatCode>General</c:formatCode>
                <c:ptCount val="1"/>
                <c:pt idx="0">
                  <c:v>1</c:v>
                </c:pt>
              </c:numCache>
            </c:numRef>
          </c:val>
          <c:extLst>
            <c:ext xmlns:c16="http://schemas.microsoft.com/office/drawing/2014/chart" uri="{C3380CC4-5D6E-409C-BE32-E72D297353CC}">
              <c16:uniqueId val="{00000001-0717-48D9-981F-04A563550FEC}"/>
            </c:ext>
          </c:extLst>
        </c:ser>
        <c:ser>
          <c:idx val="2"/>
          <c:order val="2"/>
          <c:tx>
            <c:v>additionals</c:v>
          </c:tx>
          <c:spPr>
            <a:solidFill>
              <a:srgbClr val="FCD7FC"/>
            </a:solidFill>
            <a:ln>
              <a:noFill/>
            </a:ln>
            <a:effectLst/>
          </c:spPr>
          <c:invertIfNegative val="0"/>
          <c:val>
            <c:numRef>
              <c:f>PAN!#REF!</c:f>
              <c:numCache>
                <c:formatCode>General</c:formatCode>
                <c:ptCount val="1"/>
                <c:pt idx="0">
                  <c:v>1</c:v>
                </c:pt>
              </c:numCache>
            </c:numRef>
          </c:val>
          <c:extLst>
            <c:ext xmlns:c16="http://schemas.microsoft.com/office/drawing/2014/chart" uri="{C3380CC4-5D6E-409C-BE32-E72D297353CC}">
              <c16:uniqueId val="{00000002-0717-48D9-981F-04A563550FEC}"/>
            </c:ext>
          </c:extLst>
        </c:ser>
        <c:dLbls>
          <c:showLegendKey val="0"/>
          <c:showVal val="0"/>
          <c:showCatName val="0"/>
          <c:showSerName val="0"/>
          <c:showPercent val="0"/>
          <c:showBubbleSize val="0"/>
        </c:dLbls>
        <c:gapWidth val="219"/>
        <c:axId val="696558400"/>
        <c:axId val="696560040"/>
      </c:barChart>
      <c:lineChart>
        <c:grouping val="standard"/>
        <c:varyColors val="0"/>
        <c:ser>
          <c:idx val="0"/>
          <c:order val="0"/>
          <c:tx>
            <c:v>planned</c:v>
          </c:tx>
          <c:spPr>
            <a:ln w="28575" cap="rnd">
              <a:solidFill>
                <a:schemeClr val="accent1"/>
              </a:solidFill>
              <a:round/>
            </a:ln>
            <a:effectLst/>
          </c:spPr>
          <c:marker>
            <c:symbol val="none"/>
          </c:marker>
          <c:val>
            <c:numRef>
              <c:f>PAN!#REF!</c:f>
              <c:numCache>
                <c:formatCode>General</c:formatCode>
                <c:ptCount val="1"/>
                <c:pt idx="0">
                  <c:v>1</c:v>
                </c:pt>
              </c:numCache>
            </c:numRef>
          </c:val>
          <c:smooth val="0"/>
          <c:extLst>
            <c:ext xmlns:c16="http://schemas.microsoft.com/office/drawing/2014/chart" uri="{C3380CC4-5D6E-409C-BE32-E72D297353CC}">
              <c16:uniqueId val="{00000000-0717-48D9-981F-04A563550FEC}"/>
            </c:ext>
          </c:extLst>
        </c:ser>
        <c:dLbls>
          <c:showLegendKey val="0"/>
          <c:showVal val="0"/>
          <c:showCatName val="0"/>
          <c:showSerName val="0"/>
          <c:showPercent val="0"/>
          <c:showBubbleSize val="0"/>
        </c:dLbls>
        <c:marker val="1"/>
        <c:smooth val="0"/>
        <c:axId val="696558400"/>
        <c:axId val="696560040"/>
      </c:lineChart>
      <c:catAx>
        <c:axId val="696558400"/>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96560040"/>
        <c:crosses val="autoZero"/>
        <c:auto val="1"/>
        <c:lblAlgn val="ctr"/>
        <c:lblOffset val="100"/>
        <c:noMultiLvlLbl val="0"/>
      </c:catAx>
      <c:valAx>
        <c:axId val="69656004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9655840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lv-LV"/>
              <a:t>worked</a:t>
            </a:r>
            <a:r>
              <a:rPr lang="lv-LV" baseline="0"/>
              <a:t> hours</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barChart>
        <c:barDir val="col"/>
        <c:grouping val="clustered"/>
        <c:varyColors val="0"/>
        <c:ser>
          <c:idx val="0"/>
          <c:order val="0"/>
          <c:tx>
            <c:v>planned</c:v>
          </c:tx>
          <c:spPr>
            <a:solidFill>
              <a:schemeClr val="accent1"/>
            </a:solidFill>
            <a:ln>
              <a:noFill/>
            </a:ln>
            <a:effectLst/>
          </c:spPr>
          <c:invertIfNegative val="0"/>
          <c:val>
            <c:numRef>
              <c:f>PAN!$O$6:$W$6</c:f>
              <c:numCache>
                <c:formatCode>0</c:formatCode>
                <c:ptCount val="3"/>
                <c:pt idx="0">
                  <c:v>173</c:v>
                </c:pt>
                <c:pt idx="1">
                  <c:v>173</c:v>
                </c:pt>
                <c:pt idx="2">
                  <c:v>173</c:v>
                </c:pt>
              </c:numCache>
            </c:numRef>
          </c:val>
          <c:extLst>
            <c:ext xmlns:c16="http://schemas.microsoft.com/office/drawing/2014/chart" uri="{C3380CC4-5D6E-409C-BE32-E72D297353CC}">
              <c16:uniqueId val="{00000000-E3F7-4C0B-957C-AA60B7957DE2}"/>
            </c:ext>
          </c:extLst>
        </c:ser>
        <c:ser>
          <c:idx val="1"/>
          <c:order val="1"/>
          <c:tx>
            <c:v>in fact</c:v>
          </c:tx>
          <c:spPr>
            <a:solidFill>
              <a:srgbClr val="92D050"/>
            </a:solidFill>
            <a:ln>
              <a:noFill/>
            </a:ln>
            <a:effectLst/>
          </c:spPr>
          <c:invertIfNegative val="0"/>
          <c:val>
            <c:numRef>
              <c:f>PAN!$O$7:$W$7</c:f>
              <c:numCache>
                <c:formatCode>0</c:formatCode>
                <c:ptCount val="3"/>
                <c:pt idx="0" formatCode="General">
                  <c:v>210</c:v>
                </c:pt>
                <c:pt idx="1">
                  <c:v>304.5</c:v>
                </c:pt>
                <c:pt idx="2">
                  <c:v>220.1</c:v>
                </c:pt>
              </c:numCache>
            </c:numRef>
          </c:val>
          <c:extLst>
            <c:ext xmlns:c16="http://schemas.microsoft.com/office/drawing/2014/chart" uri="{C3380CC4-5D6E-409C-BE32-E72D297353CC}">
              <c16:uniqueId val="{00000001-E3F7-4C0B-957C-AA60B7957DE2}"/>
            </c:ext>
          </c:extLst>
        </c:ser>
        <c:dLbls>
          <c:showLegendKey val="0"/>
          <c:showVal val="0"/>
          <c:showCatName val="0"/>
          <c:showSerName val="0"/>
          <c:showPercent val="0"/>
          <c:showBubbleSize val="0"/>
        </c:dLbls>
        <c:gapWidth val="219"/>
        <c:overlap val="-27"/>
        <c:axId val="696563648"/>
        <c:axId val="696564632"/>
      </c:barChart>
      <c:catAx>
        <c:axId val="6965636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96564632"/>
        <c:crosses val="autoZero"/>
        <c:auto val="1"/>
        <c:lblAlgn val="ctr"/>
        <c:lblOffset val="100"/>
        <c:noMultiLvlLbl val="0"/>
      </c:catAx>
      <c:valAx>
        <c:axId val="69656463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96563648"/>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lv-LV"/>
              <a:t>travel and living costs</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barChart>
        <c:barDir val="col"/>
        <c:grouping val="clustered"/>
        <c:varyColors val="0"/>
        <c:ser>
          <c:idx val="0"/>
          <c:order val="0"/>
          <c:tx>
            <c:v>planned</c:v>
          </c:tx>
          <c:spPr>
            <a:solidFill>
              <a:schemeClr val="accent1"/>
            </a:solidFill>
            <a:ln>
              <a:noFill/>
            </a:ln>
            <a:effectLst/>
          </c:spPr>
          <c:invertIfNegative val="0"/>
          <c:val>
            <c:numRef>
              <c:f>PAN!$O$25:$W$25</c:f>
              <c:numCache>
                <c:formatCode>0</c:formatCode>
                <c:ptCount val="3"/>
                <c:pt idx="0">
                  <c:v>1000</c:v>
                </c:pt>
                <c:pt idx="1">
                  <c:v>1000</c:v>
                </c:pt>
                <c:pt idx="2">
                  <c:v>1000</c:v>
                </c:pt>
              </c:numCache>
            </c:numRef>
          </c:val>
          <c:extLst>
            <c:ext xmlns:c16="http://schemas.microsoft.com/office/drawing/2014/chart" uri="{C3380CC4-5D6E-409C-BE32-E72D297353CC}">
              <c16:uniqueId val="{00000000-E57A-4548-9954-50081DAD67B1}"/>
            </c:ext>
          </c:extLst>
        </c:ser>
        <c:ser>
          <c:idx val="1"/>
          <c:order val="1"/>
          <c:tx>
            <c:v>in fact</c:v>
          </c:tx>
          <c:spPr>
            <a:solidFill>
              <a:srgbClr val="92D050"/>
            </a:solidFill>
            <a:ln>
              <a:noFill/>
            </a:ln>
            <a:effectLst/>
          </c:spPr>
          <c:invertIfNegative val="0"/>
          <c:val>
            <c:numRef>
              <c:f>PAN!$O$26:$W$26</c:f>
              <c:numCache>
                <c:formatCode>0</c:formatCode>
                <c:ptCount val="3"/>
                <c:pt idx="0">
                  <c:v>1905.12</c:v>
                </c:pt>
                <c:pt idx="2">
                  <c:v>209</c:v>
                </c:pt>
              </c:numCache>
            </c:numRef>
          </c:val>
          <c:extLst>
            <c:ext xmlns:c16="http://schemas.microsoft.com/office/drawing/2014/chart" uri="{C3380CC4-5D6E-409C-BE32-E72D297353CC}">
              <c16:uniqueId val="{00000001-E57A-4548-9954-50081DAD67B1}"/>
            </c:ext>
          </c:extLst>
        </c:ser>
        <c:dLbls>
          <c:showLegendKey val="0"/>
          <c:showVal val="0"/>
          <c:showCatName val="0"/>
          <c:showSerName val="0"/>
          <c:showPercent val="0"/>
          <c:showBubbleSize val="0"/>
        </c:dLbls>
        <c:gapWidth val="219"/>
        <c:overlap val="-27"/>
        <c:axId val="1276121848"/>
        <c:axId val="1276127096"/>
      </c:barChart>
      <c:catAx>
        <c:axId val="1276121848"/>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76127096"/>
        <c:crosses val="autoZero"/>
        <c:auto val="1"/>
        <c:lblAlgn val="ctr"/>
        <c:lblOffset val="100"/>
        <c:noMultiLvlLbl val="0"/>
      </c:catAx>
      <c:valAx>
        <c:axId val="127612709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76121848"/>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cost forecast accuracy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v>planned</c:v>
          </c:tx>
          <c:spPr>
            <a:solidFill>
              <a:schemeClr val="accent1"/>
            </a:solidFill>
            <a:ln>
              <a:noFill/>
            </a:ln>
            <a:effectLst/>
          </c:spPr>
          <c:invertIfNegative val="0"/>
          <c:cat>
            <c:strRef>
              <c:f>PAN!$A$22:$A$24</c:f>
              <c:strCache>
                <c:ptCount val="3"/>
                <c:pt idx="0">
                  <c:v>Materials, incl.delivery, and subcontractors</c:v>
                </c:pt>
                <c:pt idx="1">
                  <c:v>Salaries and taxes</c:v>
                </c:pt>
                <c:pt idx="2">
                  <c:v>Other costs </c:v>
                </c:pt>
              </c:strCache>
            </c:strRef>
          </c:cat>
          <c:val>
            <c:numRef>
              <c:f>PAN!$C$22:$C$24</c:f>
              <c:numCache>
                <c:formatCode>0%</c:formatCode>
                <c:ptCount val="3"/>
                <c:pt idx="0">
                  <c:v>0.12192216128001078</c:v>
                </c:pt>
                <c:pt idx="1">
                  <c:v>0.25140274576442284</c:v>
                </c:pt>
                <c:pt idx="2">
                  <c:v>0.62667509295556645</c:v>
                </c:pt>
              </c:numCache>
            </c:numRef>
          </c:val>
          <c:extLst>
            <c:ext xmlns:c16="http://schemas.microsoft.com/office/drawing/2014/chart" uri="{C3380CC4-5D6E-409C-BE32-E72D297353CC}">
              <c16:uniqueId val="{00000001-D9CA-4B3B-9759-DA8173D5A8E7}"/>
            </c:ext>
          </c:extLst>
        </c:ser>
        <c:ser>
          <c:idx val="1"/>
          <c:order val="1"/>
          <c:tx>
            <c:v>actual costs</c:v>
          </c:tx>
          <c:spPr>
            <a:solidFill>
              <a:srgbClr val="92D050"/>
            </a:solidFill>
            <a:ln>
              <a:noFill/>
            </a:ln>
            <a:effectLst/>
          </c:spPr>
          <c:invertIfNegative val="0"/>
          <c:cat>
            <c:strRef>
              <c:f>PAN!$A$22:$A$24</c:f>
              <c:strCache>
                <c:ptCount val="3"/>
                <c:pt idx="0">
                  <c:v>Materials, incl.delivery, and subcontractors</c:v>
                </c:pt>
                <c:pt idx="1">
                  <c:v>Salaries and taxes</c:v>
                </c:pt>
                <c:pt idx="2">
                  <c:v>Other costs </c:v>
                </c:pt>
              </c:strCache>
            </c:strRef>
          </c:cat>
          <c:val>
            <c:numRef>
              <c:f>PAN!$B$22:$B$24</c:f>
              <c:numCache>
                <c:formatCode>0%</c:formatCode>
                <c:ptCount val="3"/>
                <c:pt idx="0">
                  <c:v>0.53746233044290959</c:v>
                </c:pt>
                <c:pt idx="1">
                  <c:v>0.4109428671588839</c:v>
                </c:pt>
                <c:pt idx="2">
                  <c:v>5.1594802398206581E-2</c:v>
                </c:pt>
              </c:numCache>
            </c:numRef>
          </c:val>
          <c:extLst>
            <c:ext xmlns:c16="http://schemas.microsoft.com/office/drawing/2014/chart" uri="{C3380CC4-5D6E-409C-BE32-E72D297353CC}">
              <c16:uniqueId val="{00000003-D9CA-4B3B-9759-DA8173D5A8E7}"/>
            </c:ext>
          </c:extLst>
        </c:ser>
        <c:dLbls>
          <c:showLegendKey val="0"/>
          <c:showVal val="0"/>
          <c:showCatName val="0"/>
          <c:showSerName val="0"/>
          <c:showPercent val="0"/>
          <c:showBubbleSize val="0"/>
        </c:dLbls>
        <c:gapWidth val="219"/>
        <c:overlap val="-27"/>
        <c:axId val="1750162439"/>
        <c:axId val="2077483527"/>
      </c:barChart>
      <c:catAx>
        <c:axId val="175016243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77483527"/>
        <c:crosses val="autoZero"/>
        <c:auto val="1"/>
        <c:lblAlgn val="ctr"/>
        <c:lblOffset val="100"/>
        <c:noMultiLvlLbl val="0"/>
      </c:catAx>
      <c:valAx>
        <c:axId val="207748352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5016243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cost allocation</a:t>
            </a:r>
          </a:p>
        </c:rich>
      </c:tx>
      <c:layout>
        <c:manualLayout>
          <c:xMode val="edge"/>
          <c:yMode val="edge"/>
          <c:x val="0.34595489123181639"/>
          <c:y val="3.3816425120772944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14F0-4BE8-8078-5DCA552A13F3}"/>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14F0-4BE8-8078-5DCA552A13F3}"/>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14F0-4BE8-8078-5DCA552A13F3}"/>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PAN!$A$22:$A$24</c:f>
              <c:strCache>
                <c:ptCount val="3"/>
                <c:pt idx="0">
                  <c:v>Materials, incl.delivery, and subcontractors</c:v>
                </c:pt>
                <c:pt idx="1">
                  <c:v>Salaries and taxes</c:v>
                </c:pt>
                <c:pt idx="2">
                  <c:v>Other costs </c:v>
                </c:pt>
              </c:strCache>
            </c:strRef>
          </c:cat>
          <c:val>
            <c:numRef>
              <c:f>PAN!$B$22:$B$24</c:f>
              <c:numCache>
                <c:formatCode>0%</c:formatCode>
                <c:ptCount val="3"/>
                <c:pt idx="0">
                  <c:v>0.53746233044290959</c:v>
                </c:pt>
                <c:pt idx="1">
                  <c:v>0.4109428671588839</c:v>
                </c:pt>
                <c:pt idx="2">
                  <c:v>5.1594802398206581E-2</c:v>
                </c:pt>
              </c:numCache>
            </c:numRef>
          </c:val>
          <c:extLst>
            <c:ext xmlns:c16="http://schemas.microsoft.com/office/drawing/2014/chart" uri="{C3380CC4-5D6E-409C-BE32-E72D297353CC}">
              <c16:uniqueId val="{00000001-EE7C-4150-A67D-FBB00414B18B}"/>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actual costs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27083492941760656"/>
          <c:y val="0.16616656026104848"/>
          <c:w val="0.36463673121940837"/>
          <c:h val="0.45579591402426051"/>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0DDE-4F22-8A9B-7985C5417C2C}"/>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0DDE-4F22-8A9B-7985C5417C2C}"/>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0DDE-4F22-8A9B-7985C5417C2C}"/>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COL!$A$24:$A$26</c:f>
              <c:strCache>
                <c:ptCount val="3"/>
                <c:pt idx="0">
                  <c:v>Materials, incl.delivery, and subcontractors</c:v>
                </c:pt>
                <c:pt idx="1">
                  <c:v>Salaries and taxes</c:v>
                </c:pt>
                <c:pt idx="2">
                  <c:v>Other costs </c:v>
                </c:pt>
              </c:strCache>
            </c:strRef>
          </c:cat>
          <c:val>
            <c:numRef>
              <c:f>COL!$B$24:$B$26</c:f>
              <c:numCache>
                <c:formatCode>0%</c:formatCode>
                <c:ptCount val="3"/>
                <c:pt idx="0">
                  <c:v>0.24123905765363102</c:v>
                </c:pt>
                <c:pt idx="1">
                  <c:v>0.65675931943676147</c:v>
                </c:pt>
                <c:pt idx="2">
                  <c:v>0.14776397414896331</c:v>
                </c:pt>
              </c:numCache>
            </c:numRef>
          </c:val>
          <c:extLst>
            <c:ext xmlns:c16="http://schemas.microsoft.com/office/drawing/2014/chart" uri="{C3380CC4-5D6E-409C-BE32-E72D297353CC}">
              <c16:uniqueId val="{00000006-0DDE-4F22-8A9B-7985C5417C2C}"/>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lv-LV"/>
              <a:t>travel and living costs</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v>planned</c:v>
          </c:tx>
          <c:spPr>
            <a:solidFill>
              <a:schemeClr val="accent1"/>
            </a:solidFill>
            <a:ln>
              <a:noFill/>
            </a:ln>
            <a:effectLst/>
          </c:spPr>
          <c:invertIfNegative val="0"/>
          <c:val>
            <c:numRef>
              <c:f>COL!$O$24:$W$24</c:f>
              <c:numCache>
                <c:formatCode>0</c:formatCode>
                <c:ptCount val="3"/>
                <c:pt idx="0">
                  <c:v>1400</c:v>
                </c:pt>
                <c:pt idx="1">
                  <c:v>1400</c:v>
                </c:pt>
                <c:pt idx="2">
                  <c:v>1400</c:v>
                </c:pt>
              </c:numCache>
            </c:numRef>
          </c:val>
          <c:extLst>
            <c:ext xmlns:c16="http://schemas.microsoft.com/office/drawing/2014/chart" uri="{C3380CC4-5D6E-409C-BE32-E72D297353CC}">
              <c16:uniqueId val="{00000000-CC60-4D71-98FF-97BBE29D5BDD}"/>
            </c:ext>
          </c:extLst>
        </c:ser>
        <c:ser>
          <c:idx val="1"/>
          <c:order val="1"/>
          <c:tx>
            <c:v>in fact</c:v>
          </c:tx>
          <c:spPr>
            <a:solidFill>
              <a:srgbClr val="92D050"/>
            </a:solidFill>
            <a:ln>
              <a:noFill/>
            </a:ln>
            <a:effectLst/>
          </c:spPr>
          <c:invertIfNegative val="0"/>
          <c:val>
            <c:numRef>
              <c:f>COL!$O$25:$W$25</c:f>
              <c:numCache>
                <c:formatCode>0</c:formatCode>
                <c:ptCount val="3"/>
                <c:pt idx="0">
                  <c:v>3613.8</c:v>
                </c:pt>
                <c:pt idx="1">
                  <c:v>305.17</c:v>
                </c:pt>
                <c:pt idx="2">
                  <c:v>262.55</c:v>
                </c:pt>
              </c:numCache>
            </c:numRef>
          </c:val>
          <c:extLst>
            <c:ext xmlns:c16="http://schemas.microsoft.com/office/drawing/2014/chart" uri="{C3380CC4-5D6E-409C-BE32-E72D297353CC}">
              <c16:uniqueId val="{00000001-CC60-4D71-98FF-97BBE29D5BDD}"/>
            </c:ext>
          </c:extLst>
        </c:ser>
        <c:dLbls>
          <c:showLegendKey val="0"/>
          <c:showVal val="0"/>
          <c:showCatName val="0"/>
          <c:showSerName val="0"/>
          <c:showPercent val="0"/>
          <c:showBubbleSize val="0"/>
        </c:dLbls>
        <c:gapWidth val="219"/>
        <c:overlap val="-27"/>
        <c:axId val="1215768840"/>
        <c:axId val="1215765560"/>
      </c:barChart>
      <c:catAx>
        <c:axId val="1215768840"/>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5765560"/>
        <c:crosses val="autoZero"/>
        <c:auto val="1"/>
        <c:lblAlgn val="ctr"/>
        <c:lblOffset val="100"/>
        <c:noMultiLvlLbl val="0"/>
      </c:catAx>
      <c:valAx>
        <c:axId val="121576556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576884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cost forecast accuracy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v>actual costs</c:v>
          </c:tx>
          <c:spPr>
            <a:solidFill>
              <a:srgbClr val="92D050"/>
            </a:solidFill>
            <a:ln>
              <a:noFill/>
            </a:ln>
            <a:effectLst/>
          </c:spPr>
          <c:invertIfNegative val="0"/>
          <c:cat>
            <c:strRef>
              <c:f>COL!$A$24:$A$26</c:f>
              <c:strCache>
                <c:ptCount val="3"/>
                <c:pt idx="0">
                  <c:v>Materials, incl.delivery, and subcontractors</c:v>
                </c:pt>
                <c:pt idx="1">
                  <c:v>Salaries and taxes</c:v>
                </c:pt>
                <c:pt idx="2">
                  <c:v>Other costs </c:v>
                </c:pt>
              </c:strCache>
            </c:strRef>
          </c:cat>
          <c:val>
            <c:numRef>
              <c:f>COL!$B$24:$B$26</c:f>
              <c:numCache>
                <c:formatCode>0%</c:formatCode>
                <c:ptCount val="3"/>
                <c:pt idx="0">
                  <c:v>0.24123905765363102</c:v>
                </c:pt>
                <c:pt idx="1">
                  <c:v>0.65675931943676147</c:v>
                </c:pt>
                <c:pt idx="2">
                  <c:v>0.14776397414896331</c:v>
                </c:pt>
              </c:numCache>
            </c:numRef>
          </c:val>
          <c:extLst>
            <c:ext xmlns:c16="http://schemas.microsoft.com/office/drawing/2014/chart" uri="{C3380CC4-5D6E-409C-BE32-E72D297353CC}">
              <c16:uniqueId val="{00000001-D85E-4EA0-B977-47D382025DB1}"/>
            </c:ext>
          </c:extLst>
        </c:ser>
        <c:ser>
          <c:idx val="1"/>
          <c:order val="1"/>
          <c:tx>
            <c:v>planned costs</c:v>
          </c:tx>
          <c:spPr>
            <a:solidFill>
              <a:srgbClr val="2F75B5"/>
            </a:solidFill>
            <a:ln>
              <a:noFill/>
            </a:ln>
            <a:effectLst/>
          </c:spPr>
          <c:invertIfNegative val="0"/>
          <c:cat>
            <c:strRef>
              <c:f>COL!$A$24:$A$26</c:f>
              <c:strCache>
                <c:ptCount val="3"/>
                <c:pt idx="0">
                  <c:v>Materials, incl.delivery, and subcontractors</c:v>
                </c:pt>
                <c:pt idx="1">
                  <c:v>Salaries and taxes</c:v>
                </c:pt>
                <c:pt idx="2">
                  <c:v>Other costs </c:v>
                </c:pt>
              </c:strCache>
            </c:strRef>
          </c:cat>
          <c:val>
            <c:numRef>
              <c:f>COL!$C$24:$C$26</c:f>
              <c:numCache>
                <c:formatCode>0%</c:formatCode>
                <c:ptCount val="3"/>
                <c:pt idx="0">
                  <c:v>0.2079153831629012</c:v>
                </c:pt>
                <c:pt idx="1">
                  <c:v>0.44215075525357345</c:v>
                </c:pt>
                <c:pt idx="2">
                  <c:v>0.34905655382925926</c:v>
                </c:pt>
              </c:numCache>
            </c:numRef>
          </c:val>
          <c:extLst>
            <c:ext xmlns:c16="http://schemas.microsoft.com/office/drawing/2014/chart" uri="{C3380CC4-5D6E-409C-BE32-E72D297353CC}">
              <c16:uniqueId val="{00000003-D85E-4EA0-B977-47D382025DB1}"/>
            </c:ext>
          </c:extLst>
        </c:ser>
        <c:dLbls>
          <c:showLegendKey val="0"/>
          <c:showVal val="0"/>
          <c:showCatName val="0"/>
          <c:showSerName val="0"/>
          <c:showPercent val="0"/>
          <c:showBubbleSize val="0"/>
        </c:dLbls>
        <c:gapWidth val="219"/>
        <c:overlap val="-27"/>
        <c:axId val="532138503"/>
        <c:axId val="838928391"/>
      </c:barChart>
      <c:catAx>
        <c:axId val="53213850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38928391"/>
        <c:crosses val="autoZero"/>
        <c:auto val="1"/>
        <c:lblAlgn val="ctr"/>
        <c:lblOffset val="100"/>
        <c:noMultiLvlLbl val="0"/>
      </c:catAx>
      <c:valAx>
        <c:axId val="838928391"/>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3213850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worked hours</a:t>
            </a:r>
          </a:p>
        </c:rich>
      </c:tx>
      <c:layout>
        <c:manualLayout>
          <c:xMode val="edge"/>
          <c:yMode val="edge"/>
          <c:x val="0.40740966754155733"/>
          <c:y val="2.7777777777777776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v>planned</c:v>
          </c:tx>
          <c:spPr>
            <a:solidFill>
              <a:schemeClr val="accent1"/>
            </a:solidFill>
            <a:ln>
              <a:noFill/>
            </a:ln>
            <a:effectLst/>
          </c:spPr>
          <c:invertIfNegative val="0"/>
          <c:val>
            <c:numRef>
              <c:f>COL!$O$6:$Q$6</c:f>
              <c:numCache>
                <c:formatCode>0</c:formatCode>
                <c:ptCount val="3"/>
                <c:pt idx="0">
                  <c:v>202</c:v>
                </c:pt>
                <c:pt idx="1">
                  <c:v>202</c:v>
                </c:pt>
                <c:pt idx="2">
                  <c:v>202</c:v>
                </c:pt>
              </c:numCache>
            </c:numRef>
          </c:val>
          <c:extLst>
            <c:ext xmlns:c16="http://schemas.microsoft.com/office/drawing/2014/chart" uri="{C3380CC4-5D6E-409C-BE32-E72D297353CC}">
              <c16:uniqueId val="{00000001-D499-4DFA-A846-3833552CD4CC}"/>
            </c:ext>
          </c:extLst>
        </c:ser>
        <c:ser>
          <c:idx val="1"/>
          <c:order val="1"/>
          <c:tx>
            <c:v>in fact</c:v>
          </c:tx>
          <c:spPr>
            <a:solidFill>
              <a:srgbClr val="92D050"/>
            </a:solidFill>
            <a:ln>
              <a:noFill/>
            </a:ln>
            <a:effectLst/>
          </c:spPr>
          <c:invertIfNegative val="0"/>
          <c:val>
            <c:numRef>
              <c:f>COL!$O$7:$Q$7</c:f>
              <c:numCache>
                <c:formatCode>0</c:formatCode>
                <c:ptCount val="3"/>
                <c:pt idx="0">
                  <c:v>269.43</c:v>
                </c:pt>
                <c:pt idx="1">
                  <c:v>243.6</c:v>
                </c:pt>
                <c:pt idx="2">
                  <c:v>208.55</c:v>
                </c:pt>
              </c:numCache>
            </c:numRef>
          </c:val>
          <c:extLst>
            <c:ext xmlns:c16="http://schemas.microsoft.com/office/drawing/2014/chart" uri="{C3380CC4-5D6E-409C-BE32-E72D297353CC}">
              <c16:uniqueId val="{00000003-D499-4DFA-A846-3833552CD4CC}"/>
            </c:ext>
          </c:extLst>
        </c:ser>
        <c:dLbls>
          <c:showLegendKey val="0"/>
          <c:showVal val="0"/>
          <c:showCatName val="0"/>
          <c:showSerName val="0"/>
          <c:showPercent val="0"/>
          <c:showBubbleSize val="0"/>
        </c:dLbls>
        <c:gapWidth val="219"/>
        <c:overlap val="-27"/>
        <c:axId val="646458375"/>
        <c:axId val="1971612680"/>
      </c:barChart>
      <c:catAx>
        <c:axId val="646458375"/>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71612680"/>
        <c:crosses val="autoZero"/>
        <c:auto val="1"/>
        <c:lblAlgn val="ctr"/>
        <c:lblOffset val="100"/>
        <c:noMultiLvlLbl val="0"/>
      </c:catAx>
      <c:valAx>
        <c:axId val="197161268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4645837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2.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 Id="rId4" Type="http://schemas.openxmlformats.org/officeDocument/2006/relationships/chart" Target="../charts/chart8.xml"/></Relationships>
</file>

<file path=xl/drawings/_rels/drawing3.xml.rels><?xml version="1.0" encoding="UTF-8" standalone="yes"?>
<Relationships xmlns="http://schemas.openxmlformats.org/package/2006/relationships"><Relationship Id="rId3" Type="http://schemas.openxmlformats.org/officeDocument/2006/relationships/chart" Target="../charts/chart11.xml"/><Relationship Id="rId2" Type="http://schemas.openxmlformats.org/officeDocument/2006/relationships/chart" Target="../charts/chart10.xml"/><Relationship Id="rId1" Type="http://schemas.openxmlformats.org/officeDocument/2006/relationships/chart" Target="../charts/chart9.xml"/><Relationship Id="rId4" Type="http://schemas.openxmlformats.org/officeDocument/2006/relationships/chart" Target="../charts/chart12.xml"/></Relationships>
</file>

<file path=xl/drawings/_rels/drawing4.xml.rels><?xml version="1.0" encoding="UTF-8" standalone="yes"?>
<Relationships xmlns="http://schemas.openxmlformats.org/package/2006/relationships"><Relationship Id="rId3" Type="http://schemas.openxmlformats.org/officeDocument/2006/relationships/chart" Target="../charts/chart15.xml"/><Relationship Id="rId2" Type="http://schemas.openxmlformats.org/officeDocument/2006/relationships/chart" Target="../charts/chart14.xml"/><Relationship Id="rId1" Type="http://schemas.openxmlformats.org/officeDocument/2006/relationships/chart" Target="../charts/chart13.xml"/><Relationship Id="rId4" Type="http://schemas.openxmlformats.org/officeDocument/2006/relationships/chart" Target="../charts/chart16.xml"/></Relationships>
</file>

<file path=xl/drawings/_rels/drawing5.xml.rels><?xml version="1.0" encoding="UTF-8" standalone="yes"?>
<Relationships xmlns="http://schemas.openxmlformats.org/package/2006/relationships"><Relationship Id="rId3" Type="http://schemas.openxmlformats.org/officeDocument/2006/relationships/chart" Target="../charts/chart19.xml"/><Relationship Id="rId2" Type="http://schemas.openxmlformats.org/officeDocument/2006/relationships/chart" Target="../charts/chart18.xml"/><Relationship Id="rId1" Type="http://schemas.openxmlformats.org/officeDocument/2006/relationships/chart" Target="../charts/chart17.xml"/><Relationship Id="rId5" Type="http://schemas.openxmlformats.org/officeDocument/2006/relationships/chart" Target="../charts/chart21.xml"/><Relationship Id="rId4" Type="http://schemas.openxmlformats.org/officeDocument/2006/relationships/chart" Target="../charts/chart20.xml"/></Relationships>
</file>

<file path=xl/drawings/_rels/drawing6.xml.rels><?xml version="1.0" encoding="UTF-8" standalone="yes"?>
<Relationships xmlns="http://schemas.openxmlformats.org/package/2006/relationships"><Relationship Id="rId3" Type="http://schemas.openxmlformats.org/officeDocument/2006/relationships/chart" Target="../charts/chart24.xml"/><Relationship Id="rId2" Type="http://schemas.openxmlformats.org/officeDocument/2006/relationships/chart" Target="../charts/chart23.xml"/><Relationship Id="rId1" Type="http://schemas.openxmlformats.org/officeDocument/2006/relationships/chart" Target="../charts/chart22.xml"/><Relationship Id="rId4" Type="http://schemas.openxmlformats.org/officeDocument/2006/relationships/chart" Target="../charts/chart25.xml"/></Relationships>
</file>

<file path=xl/drawings/drawing1.xml><?xml version="1.0" encoding="utf-8"?>
<xdr:wsDr xmlns:xdr="http://schemas.openxmlformats.org/drawingml/2006/spreadsheetDrawing" xmlns:a="http://schemas.openxmlformats.org/drawingml/2006/main">
  <xdr:twoCellAnchor>
    <xdr:from>
      <xdr:col>2</xdr:col>
      <xdr:colOff>657225</xdr:colOff>
      <xdr:row>24</xdr:row>
      <xdr:rowOff>171450</xdr:rowOff>
    </xdr:from>
    <xdr:to>
      <xdr:col>11</xdr:col>
      <xdr:colOff>628650</xdr:colOff>
      <xdr:row>34</xdr:row>
      <xdr:rowOff>76200</xdr:rowOff>
    </xdr:to>
    <xdr:graphicFrame macro="">
      <xdr:nvGraphicFramePr>
        <xdr:cNvPr id="2" name="Chart 1">
          <a:extLst>
            <a:ext uri="{FF2B5EF4-FFF2-40B4-BE49-F238E27FC236}">
              <a16:creationId xmlns:a16="http://schemas.microsoft.com/office/drawing/2014/main" id="{4A3F9492-49DE-450D-B37A-3F0E37DC0E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16</xdr:col>
      <xdr:colOff>0</xdr:colOff>
      <xdr:row>7</xdr:row>
      <xdr:rowOff>95250</xdr:rowOff>
    </xdr:from>
    <xdr:to>
      <xdr:col>27</xdr:col>
      <xdr:colOff>504825</xdr:colOff>
      <xdr:row>16</xdr:row>
      <xdr:rowOff>180975</xdr:rowOff>
    </xdr:to>
    <xdr:graphicFrame macro="">
      <xdr:nvGraphicFramePr>
        <xdr:cNvPr id="9" name="Diagramma 79">
          <a:extLst>
            <a:ext uri="{FF2B5EF4-FFF2-40B4-BE49-F238E27FC236}">
              <a16:creationId xmlns:a16="http://schemas.microsoft.com/office/drawing/2014/main" id="{74D68635-97AE-6587-3A08-CF3404EB4FF6}"/>
            </a:ext>
            <a:ext uri="{147F2762-F138-4A5C-976F-8EAC2B608ADB}">
              <a16:predDERef xmlns:a16="http://schemas.microsoft.com/office/drawing/2014/main" pred="{4A3F9492-49DE-450D-B37A-3F0E37DC0E8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16</xdr:col>
      <xdr:colOff>9525</xdr:colOff>
      <xdr:row>23</xdr:row>
      <xdr:rowOff>133350</xdr:rowOff>
    </xdr:from>
    <xdr:to>
      <xdr:col>27</xdr:col>
      <xdr:colOff>533400</xdr:colOff>
      <xdr:row>31</xdr:row>
      <xdr:rowOff>180975</xdr:rowOff>
    </xdr:to>
    <xdr:graphicFrame macro="">
      <xdr:nvGraphicFramePr>
        <xdr:cNvPr id="6" name="Diagramma 80">
          <a:extLst>
            <a:ext uri="{FF2B5EF4-FFF2-40B4-BE49-F238E27FC236}">
              <a16:creationId xmlns:a16="http://schemas.microsoft.com/office/drawing/2014/main" id="{88371EF0-D782-81EC-4AB4-98AC6D425A6D}"/>
            </a:ext>
            <a:ext uri="{147F2762-F138-4A5C-976F-8EAC2B608ADB}">
              <a16:predDERef xmlns:a16="http://schemas.microsoft.com/office/drawing/2014/main" pred="{74D68635-97AE-6587-3A08-CF3404EB4FF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66675</xdr:colOff>
      <xdr:row>24</xdr:row>
      <xdr:rowOff>152400</xdr:rowOff>
    </xdr:from>
    <xdr:to>
      <xdr:col>2</xdr:col>
      <xdr:colOff>457200</xdr:colOff>
      <xdr:row>34</xdr:row>
      <xdr:rowOff>57150</xdr:rowOff>
    </xdr:to>
    <xdr:graphicFrame macro="">
      <xdr:nvGraphicFramePr>
        <xdr:cNvPr id="3" name="Chart 2">
          <a:extLst>
            <a:ext uri="{FF2B5EF4-FFF2-40B4-BE49-F238E27FC236}">
              <a16:creationId xmlns:a16="http://schemas.microsoft.com/office/drawing/2014/main" id="{8AA05581-BE6C-8CA1-8CB0-EE82AC37225C}"/>
            </a:ext>
            <a:ext uri="{147F2762-F138-4A5C-976F-8EAC2B608ADB}">
              <a16:predDERef xmlns:a16="http://schemas.microsoft.com/office/drawing/2014/main" pred="{88371EF0-D782-81EC-4AB4-98AC6D425A6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xdr:col>
      <xdr:colOff>1952625</xdr:colOff>
      <xdr:row>24</xdr:row>
      <xdr:rowOff>57150</xdr:rowOff>
    </xdr:from>
    <xdr:to>
      <xdr:col>7</xdr:col>
      <xdr:colOff>485775</xdr:colOff>
      <xdr:row>35</xdr:row>
      <xdr:rowOff>66675</xdr:rowOff>
    </xdr:to>
    <xdr:graphicFrame macro="">
      <xdr:nvGraphicFramePr>
        <xdr:cNvPr id="2" name="Chart 1">
          <a:extLst>
            <a:ext uri="{FF2B5EF4-FFF2-40B4-BE49-F238E27FC236}">
              <a16:creationId xmlns:a16="http://schemas.microsoft.com/office/drawing/2014/main" id="{5FB60B0D-72D8-4070-A933-09CF02EBE4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180975</xdr:colOff>
      <xdr:row>7</xdr:row>
      <xdr:rowOff>76200</xdr:rowOff>
    </xdr:from>
    <xdr:to>
      <xdr:col>23</xdr:col>
      <xdr:colOff>771525</xdr:colOff>
      <xdr:row>16</xdr:row>
      <xdr:rowOff>104775</xdr:rowOff>
    </xdr:to>
    <xdr:graphicFrame macro="">
      <xdr:nvGraphicFramePr>
        <xdr:cNvPr id="3" name="Chart 2">
          <a:extLst>
            <a:ext uri="{FF2B5EF4-FFF2-40B4-BE49-F238E27FC236}">
              <a16:creationId xmlns:a16="http://schemas.microsoft.com/office/drawing/2014/main" id="{2F7DBECA-8332-1184-4916-AEE58878B380}"/>
            </a:ext>
            <a:ext uri="{147F2762-F138-4A5C-976F-8EAC2B608ADB}">
              <a16:predDERef xmlns:a16="http://schemas.microsoft.com/office/drawing/2014/main" pred="{5FB60B0D-72D8-4070-A933-09CF02EBE40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161925</xdr:colOff>
      <xdr:row>24</xdr:row>
      <xdr:rowOff>114300</xdr:rowOff>
    </xdr:from>
    <xdr:to>
      <xdr:col>23</xdr:col>
      <xdr:colOff>819150</xdr:colOff>
      <xdr:row>33</xdr:row>
      <xdr:rowOff>38100</xdr:rowOff>
    </xdr:to>
    <xdr:graphicFrame macro="">
      <xdr:nvGraphicFramePr>
        <xdr:cNvPr id="4" name="Chart 3">
          <a:extLst>
            <a:ext uri="{FF2B5EF4-FFF2-40B4-BE49-F238E27FC236}">
              <a16:creationId xmlns:a16="http://schemas.microsoft.com/office/drawing/2014/main" id="{A2853B50-3887-EB80-1F02-839F535F6C18}"/>
            </a:ext>
            <a:ext uri="{147F2762-F138-4A5C-976F-8EAC2B608ADB}">
              <a16:predDERef xmlns:a16="http://schemas.microsoft.com/office/drawing/2014/main" pred="{2F7DBECA-8332-1184-4916-AEE58878B38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104775</xdr:colOff>
      <xdr:row>24</xdr:row>
      <xdr:rowOff>104775</xdr:rowOff>
    </xdr:from>
    <xdr:to>
      <xdr:col>1</xdr:col>
      <xdr:colOff>1638300</xdr:colOff>
      <xdr:row>35</xdr:row>
      <xdr:rowOff>57150</xdr:rowOff>
    </xdr:to>
    <xdr:graphicFrame macro="">
      <xdr:nvGraphicFramePr>
        <xdr:cNvPr id="5" name="Chart 4">
          <a:extLst>
            <a:ext uri="{FF2B5EF4-FFF2-40B4-BE49-F238E27FC236}">
              <a16:creationId xmlns:a16="http://schemas.microsoft.com/office/drawing/2014/main" id="{D485439A-ABA7-9A33-58ED-96853A814597}"/>
            </a:ext>
            <a:ext uri="{147F2762-F138-4A5C-976F-8EAC2B608ADB}">
              <a16:predDERef xmlns:a16="http://schemas.microsoft.com/office/drawing/2014/main" pred="{A2853B50-3887-EB80-1F02-839F535F6C1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2</xdr:col>
      <xdr:colOff>133350</xdr:colOff>
      <xdr:row>25</xdr:row>
      <xdr:rowOff>161925</xdr:rowOff>
    </xdr:from>
    <xdr:to>
      <xdr:col>7</xdr:col>
      <xdr:colOff>514350</xdr:colOff>
      <xdr:row>36</xdr:row>
      <xdr:rowOff>0</xdr:rowOff>
    </xdr:to>
    <xdr:graphicFrame macro="">
      <xdr:nvGraphicFramePr>
        <xdr:cNvPr id="2" name="Chart 1">
          <a:extLst>
            <a:ext uri="{FF2B5EF4-FFF2-40B4-BE49-F238E27FC236}">
              <a16:creationId xmlns:a16="http://schemas.microsoft.com/office/drawing/2014/main" id="{4BA3AD17-E4B3-4C3B-ACCA-7529DDE53D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180975</xdr:colOff>
      <xdr:row>7</xdr:row>
      <xdr:rowOff>133350</xdr:rowOff>
    </xdr:from>
    <xdr:to>
      <xdr:col>23</xdr:col>
      <xdr:colOff>809625</xdr:colOff>
      <xdr:row>17</xdr:row>
      <xdr:rowOff>123825</xdr:rowOff>
    </xdr:to>
    <xdr:graphicFrame macro="">
      <xdr:nvGraphicFramePr>
        <xdr:cNvPr id="4" name="Chart 3">
          <a:extLst>
            <a:ext uri="{FF2B5EF4-FFF2-40B4-BE49-F238E27FC236}">
              <a16:creationId xmlns:a16="http://schemas.microsoft.com/office/drawing/2014/main" id="{BB1716B4-95A0-D391-6ED7-228FC3FC3C47}"/>
            </a:ext>
            <a:ext uri="{147F2762-F138-4A5C-976F-8EAC2B608ADB}">
              <a16:predDERef xmlns:a16="http://schemas.microsoft.com/office/drawing/2014/main" pred="{4BA3AD17-E4B3-4C3B-ACCA-7529DDE53DA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12</xdr:col>
      <xdr:colOff>28575</xdr:colOff>
      <xdr:row>24</xdr:row>
      <xdr:rowOff>57150</xdr:rowOff>
    </xdr:from>
    <xdr:to>
      <xdr:col>23</xdr:col>
      <xdr:colOff>790575</xdr:colOff>
      <xdr:row>33</xdr:row>
      <xdr:rowOff>57150</xdr:rowOff>
    </xdr:to>
    <xdr:graphicFrame macro="">
      <xdr:nvGraphicFramePr>
        <xdr:cNvPr id="5" name="Chart 4">
          <a:extLst>
            <a:ext uri="{FF2B5EF4-FFF2-40B4-BE49-F238E27FC236}">
              <a16:creationId xmlns:a16="http://schemas.microsoft.com/office/drawing/2014/main" id="{D3E3ED57-46A2-53BD-4722-83A34C264EBE}"/>
            </a:ext>
            <a:ext uri="{147F2762-F138-4A5C-976F-8EAC2B608ADB}">
              <a16:predDERef xmlns:a16="http://schemas.microsoft.com/office/drawing/2014/main" pred="{BB1716B4-95A0-D391-6ED7-228FC3FC3C4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152400</xdr:colOff>
      <xdr:row>25</xdr:row>
      <xdr:rowOff>171450</xdr:rowOff>
    </xdr:from>
    <xdr:to>
      <xdr:col>2</xdr:col>
      <xdr:colOff>0</xdr:colOff>
      <xdr:row>36</xdr:row>
      <xdr:rowOff>0</xdr:rowOff>
    </xdr:to>
    <xdr:graphicFrame macro="">
      <xdr:nvGraphicFramePr>
        <xdr:cNvPr id="3" name="Chart 2">
          <a:extLst>
            <a:ext uri="{FF2B5EF4-FFF2-40B4-BE49-F238E27FC236}">
              <a16:creationId xmlns:a16="http://schemas.microsoft.com/office/drawing/2014/main" id="{23335A43-4411-FCFE-02E9-1CE0F6613496}"/>
            </a:ext>
            <a:ext uri="{147F2762-F138-4A5C-976F-8EAC2B608ADB}">
              <a16:predDERef xmlns:a16="http://schemas.microsoft.com/office/drawing/2014/main" pred="{D3E3ED57-46A2-53BD-4722-83A34C264EB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xdr:col>
      <xdr:colOff>1619250</xdr:colOff>
      <xdr:row>25</xdr:row>
      <xdr:rowOff>95250</xdr:rowOff>
    </xdr:from>
    <xdr:to>
      <xdr:col>7</xdr:col>
      <xdr:colOff>533400</xdr:colOff>
      <xdr:row>34</xdr:row>
      <xdr:rowOff>76200</xdr:rowOff>
    </xdr:to>
    <xdr:graphicFrame macro="">
      <xdr:nvGraphicFramePr>
        <xdr:cNvPr id="2" name="Chart 1">
          <a:extLst>
            <a:ext uri="{FF2B5EF4-FFF2-40B4-BE49-F238E27FC236}">
              <a16:creationId xmlns:a16="http://schemas.microsoft.com/office/drawing/2014/main" id="{47305504-2D4A-4368-965F-A5539C037D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171450</xdr:colOff>
      <xdr:row>7</xdr:row>
      <xdr:rowOff>142875</xdr:rowOff>
    </xdr:from>
    <xdr:to>
      <xdr:col>24</xdr:col>
      <xdr:colOff>876300</xdr:colOff>
      <xdr:row>18</xdr:row>
      <xdr:rowOff>76200</xdr:rowOff>
    </xdr:to>
    <xdr:graphicFrame macro="">
      <xdr:nvGraphicFramePr>
        <xdr:cNvPr id="9" name="Diagramma 8">
          <a:extLst>
            <a:ext uri="{FF2B5EF4-FFF2-40B4-BE49-F238E27FC236}">
              <a16:creationId xmlns:a16="http://schemas.microsoft.com/office/drawing/2014/main" id="{0F1D33E4-B37A-4E9A-F146-7937115BF99F}"/>
            </a:ext>
            <a:ext uri="{147F2762-F138-4A5C-976F-8EAC2B608ADB}">
              <a16:predDERef xmlns:a16="http://schemas.microsoft.com/office/drawing/2014/main" pred="{47305504-2D4A-4368-965F-A5539C037D4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9525</xdr:colOff>
      <xdr:row>25</xdr:row>
      <xdr:rowOff>76200</xdr:rowOff>
    </xdr:from>
    <xdr:to>
      <xdr:col>24</xdr:col>
      <xdr:colOff>809625</xdr:colOff>
      <xdr:row>34</xdr:row>
      <xdr:rowOff>123825</xdr:rowOff>
    </xdr:to>
    <xdr:graphicFrame macro="">
      <xdr:nvGraphicFramePr>
        <xdr:cNvPr id="10" name="Diagramma 9">
          <a:extLst>
            <a:ext uri="{FF2B5EF4-FFF2-40B4-BE49-F238E27FC236}">
              <a16:creationId xmlns:a16="http://schemas.microsoft.com/office/drawing/2014/main" id="{36579B53-1787-059D-8752-DC653789460A}"/>
            </a:ext>
            <a:ext uri="{147F2762-F138-4A5C-976F-8EAC2B608ADB}">
              <a16:predDERef xmlns:a16="http://schemas.microsoft.com/office/drawing/2014/main" pred="{0F1D33E4-B37A-4E9A-F146-7937115BF99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28575</xdr:colOff>
      <xdr:row>25</xdr:row>
      <xdr:rowOff>76200</xdr:rowOff>
    </xdr:from>
    <xdr:to>
      <xdr:col>1</xdr:col>
      <xdr:colOff>1419225</xdr:colOff>
      <xdr:row>34</xdr:row>
      <xdr:rowOff>76200</xdr:rowOff>
    </xdr:to>
    <xdr:graphicFrame macro="">
      <xdr:nvGraphicFramePr>
        <xdr:cNvPr id="3" name="Chart 2">
          <a:extLst>
            <a:ext uri="{FF2B5EF4-FFF2-40B4-BE49-F238E27FC236}">
              <a16:creationId xmlns:a16="http://schemas.microsoft.com/office/drawing/2014/main" id="{B0A09C44-B8A5-2A42-1AFE-E16915112A9A}"/>
            </a:ext>
            <a:ext uri="{147F2762-F138-4A5C-976F-8EAC2B608ADB}">
              <a16:predDERef xmlns:a16="http://schemas.microsoft.com/office/drawing/2014/main" pred="{36579B53-1787-059D-8752-DC653789460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10</xdr:col>
      <xdr:colOff>214312</xdr:colOff>
      <xdr:row>8</xdr:row>
      <xdr:rowOff>95249</xdr:rowOff>
    </xdr:from>
    <xdr:to>
      <xdr:col>11</xdr:col>
      <xdr:colOff>0</xdr:colOff>
      <xdr:row>19</xdr:row>
      <xdr:rowOff>104774</xdr:rowOff>
    </xdr:to>
    <xdr:graphicFrame macro="">
      <xdr:nvGraphicFramePr>
        <xdr:cNvPr id="7" name="Diagramma 6">
          <a:extLst>
            <a:ext uri="{FF2B5EF4-FFF2-40B4-BE49-F238E27FC236}">
              <a16:creationId xmlns:a16="http://schemas.microsoft.com/office/drawing/2014/main" id="{58813F04-C374-B6F2-52E8-8CDF8460E382}"/>
            </a:ext>
            <a:ext uri="{147F2762-F138-4A5C-976F-8EAC2B608ADB}">
              <a16:predDERef xmlns:a16="http://schemas.microsoft.com/office/drawing/2014/main" pred="{8C9DA677-1F02-4F57-A32F-E8E03ED94D8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47625</xdr:colOff>
      <xdr:row>8</xdr:row>
      <xdr:rowOff>0</xdr:rowOff>
    </xdr:from>
    <xdr:to>
      <xdr:col>25</xdr:col>
      <xdr:colOff>561975</xdr:colOff>
      <xdr:row>18</xdr:row>
      <xdr:rowOff>161925</xdr:rowOff>
    </xdr:to>
    <xdr:graphicFrame macro="">
      <xdr:nvGraphicFramePr>
        <xdr:cNvPr id="3" name="Diagramma 8">
          <a:extLst>
            <a:ext uri="{FF2B5EF4-FFF2-40B4-BE49-F238E27FC236}">
              <a16:creationId xmlns:a16="http://schemas.microsoft.com/office/drawing/2014/main" id="{F05AE356-A558-C114-4B82-DA58DCE5A002}"/>
            </a:ext>
            <a:ext uri="{147F2762-F138-4A5C-976F-8EAC2B608ADB}">
              <a16:predDERef xmlns:a16="http://schemas.microsoft.com/office/drawing/2014/main" pred="{58813F04-C374-B6F2-52E8-8CDF8460E38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14</xdr:col>
      <xdr:colOff>28575</xdr:colOff>
      <xdr:row>27</xdr:row>
      <xdr:rowOff>0</xdr:rowOff>
    </xdr:from>
    <xdr:to>
      <xdr:col>25</xdr:col>
      <xdr:colOff>533400</xdr:colOff>
      <xdr:row>35</xdr:row>
      <xdr:rowOff>104775</xdr:rowOff>
    </xdr:to>
    <xdr:graphicFrame macro="">
      <xdr:nvGraphicFramePr>
        <xdr:cNvPr id="6" name="Diagramma 9">
          <a:extLst>
            <a:ext uri="{FF2B5EF4-FFF2-40B4-BE49-F238E27FC236}">
              <a16:creationId xmlns:a16="http://schemas.microsoft.com/office/drawing/2014/main" id="{C3AAE5C3-4C66-FB59-6CFF-54D4FAB878EC}"/>
            </a:ext>
            <a:ext uri="{147F2762-F138-4A5C-976F-8EAC2B608ADB}">
              <a16:predDERef xmlns:a16="http://schemas.microsoft.com/office/drawing/2014/main" pred="{F05AE356-A558-C114-4B82-DA58DCE5A00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161925</xdr:colOff>
      <xdr:row>24</xdr:row>
      <xdr:rowOff>47625</xdr:rowOff>
    </xdr:from>
    <xdr:to>
      <xdr:col>1</xdr:col>
      <xdr:colOff>1362075</xdr:colOff>
      <xdr:row>34</xdr:row>
      <xdr:rowOff>161925</xdr:rowOff>
    </xdr:to>
    <xdr:graphicFrame macro="">
      <xdr:nvGraphicFramePr>
        <xdr:cNvPr id="5" name="Chart 4">
          <a:extLst>
            <a:ext uri="{FF2B5EF4-FFF2-40B4-BE49-F238E27FC236}">
              <a16:creationId xmlns:a16="http://schemas.microsoft.com/office/drawing/2014/main" id="{BCD4536D-25DC-82A1-99CD-1FD70996CD26}"/>
            </a:ext>
            <a:ext uri="{147F2762-F138-4A5C-976F-8EAC2B608ADB}">
              <a16:predDERef xmlns:a16="http://schemas.microsoft.com/office/drawing/2014/main" pred="{C3AAE5C3-4C66-FB59-6CFF-54D4FAB878E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24</xdr:row>
      <xdr:rowOff>38100</xdr:rowOff>
    </xdr:from>
    <xdr:to>
      <xdr:col>9</xdr:col>
      <xdr:colOff>514350</xdr:colOff>
      <xdr:row>34</xdr:row>
      <xdr:rowOff>161925</xdr:rowOff>
    </xdr:to>
    <xdr:graphicFrame macro="">
      <xdr:nvGraphicFramePr>
        <xdr:cNvPr id="9" name="Chart 8">
          <a:extLst>
            <a:ext uri="{FF2B5EF4-FFF2-40B4-BE49-F238E27FC236}">
              <a16:creationId xmlns:a16="http://schemas.microsoft.com/office/drawing/2014/main" id="{601A7D38-0E0F-85F9-C548-BCE6DABC8DCC}"/>
            </a:ext>
            <a:ext uri="{147F2762-F138-4A5C-976F-8EAC2B608ADB}">
              <a16:predDERef xmlns:a16="http://schemas.microsoft.com/office/drawing/2014/main" pred="{BCD4536D-25DC-82A1-99CD-1FD70996CD2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2</xdr:col>
      <xdr:colOff>95250</xdr:colOff>
      <xdr:row>26</xdr:row>
      <xdr:rowOff>104775</xdr:rowOff>
    </xdr:from>
    <xdr:to>
      <xdr:col>9</xdr:col>
      <xdr:colOff>561975</xdr:colOff>
      <xdr:row>34</xdr:row>
      <xdr:rowOff>57150</xdr:rowOff>
    </xdr:to>
    <xdr:graphicFrame macro="">
      <xdr:nvGraphicFramePr>
        <xdr:cNvPr id="2" name="Chart 1">
          <a:extLst>
            <a:ext uri="{FF2B5EF4-FFF2-40B4-BE49-F238E27FC236}">
              <a16:creationId xmlns:a16="http://schemas.microsoft.com/office/drawing/2014/main" id="{DD8FC813-1A87-49C8-B3EB-DE88590D7F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161925</xdr:colOff>
      <xdr:row>25</xdr:row>
      <xdr:rowOff>104775</xdr:rowOff>
    </xdr:from>
    <xdr:to>
      <xdr:col>25</xdr:col>
      <xdr:colOff>485775</xdr:colOff>
      <xdr:row>34</xdr:row>
      <xdr:rowOff>9525</xdr:rowOff>
    </xdr:to>
    <xdr:graphicFrame macro="">
      <xdr:nvGraphicFramePr>
        <xdr:cNvPr id="5" name="Diagramma 9">
          <a:extLst>
            <a:ext uri="{FF2B5EF4-FFF2-40B4-BE49-F238E27FC236}">
              <a16:creationId xmlns:a16="http://schemas.microsoft.com/office/drawing/2014/main" id="{37D9DA90-7635-2D5F-2D71-E3E6AC7331E5}"/>
            </a:ext>
            <a:ext uri="{147F2762-F138-4A5C-976F-8EAC2B608ADB}">
              <a16:predDERef xmlns:a16="http://schemas.microsoft.com/office/drawing/2014/main" pred="{DD8FC813-1A87-49C8-B3EB-DE88590D7F9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26</xdr:row>
      <xdr:rowOff>76200</xdr:rowOff>
    </xdr:from>
    <xdr:to>
      <xdr:col>1</xdr:col>
      <xdr:colOff>1981200</xdr:colOff>
      <xdr:row>34</xdr:row>
      <xdr:rowOff>47625</xdr:rowOff>
    </xdr:to>
    <xdr:graphicFrame macro="">
      <xdr:nvGraphicFramePr>
        <xdr:cNvPr id="4" name="Chart 3">
          <a:extLst>
            <a:ext uri="{FF2B5EF4-FFF2-40B4-BE49-F238E27FC236}">
              <a16:creationId xmlns:a16="http://schemas.microsoft.com/office/drawing/2014/main" id="{867C8D7A-E964-248B-AFFD-CA04C001EBE7}"/>
            </a:ext>
            <a:ext uri="{147F2762-F138-4A5C-976F-8EAC2B608ADB}">
              <a16:predDERef xmlns:a16="http://schemas.microsoft.com/office/drawing/2014/main" pred="{37D9DA90-7635-2D5F-2D71-E3E6AC7331E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13</xdr:col>
      <xdr:colOff>180975</xdr:colOff>
      <xdr:row>7</xdr:row>
      <xdr:rowOff>123825</xdr:rowOff>
    </xdr:from>
    <xdr:to>
      <xdr:col>25</xdr:col>
      <xdr:colOff>485775</xdr:colOff>
      <xdr:row>19</xdr:row>
      <xdr:rowOff>133350</xdr:rowOff>
    </xdr:to>
    <xdr:graphicFrame macro="">
      <xdr:nvGraphicFramePr>
        <xdr:cNvPr id="6" name="Chart 5">
          <a:extLst>
            <a:ext uri="{FF2B5EF4-FFF2-40B4-BE49-F238E27FC236}">
              <a16:creationId xmlns:a16="http://schemas.microsoft.com/office/drawing/2014/main" id="{F965B08E-22AE-60A6-E116-B78F96E7A3FB}"/>
            </a:ext>
            <a:ext uri="{147F2762-F138-4A5C-976F-8EAC2B608ADB}">
              <a16:predDERef xmlns:a16="http://schemas.microsoft.com/office/drawing/2014/main" pred="{867C8D7A-E964-248B-AFFD-CA04C001EBE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persons/person.xml><?xml version="1.0" encoding="utf-8"?>
<personList xmlns="http://schemas.microsoft.com/office/spreadsheetml/2018/threadedcomments" xmlns:x="http://schemas.openxmlformats.org/spreadsheetml/2006/main">
  <person displayName="Office_Franzoni &amp; Co" id="{446468AD-5876-47C4-A3F4-EB9EE2D58BB2}" userId="S::office@franzoni-co.com::28c45457-cb33-41de-a251-7d72ffa747be"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D13" dT="2025-11-25T08:56:37.03" personId="{446468AD-5876-47C4-A3F4-EB9EE2D58BB2}" id="{BB087AB8-B545-4CB6-92BD-79DFBECFB9D1}">
    <text>līguma summa</text>
  </threadedComment>
  <threadedComment ref="D14" dT="2025-11-24T11:23:46.65" personId="{446468AD-5876-47C4-A3F4-EB9EE2D58BB2}" id="{032C542F-95FD-44D5-815E-F59A7A3BA23B}">
    <text>līguma summa</text>
  </threadedComment>
  <threadedComment ref="D15" dT="2025-11-13T10:20:12.34" personId="{446468AD-5876-47C4-A3F4-EB9EE2D58BB2}" id="{D56D40DB-DA6C-4197-AE14-776C7DD22DA6}">
    <text>līguma summa</text>
  </threadedComment>
  <threadedComment ref="D16" dT="2025-11-13T10:20:19.61" personId="{446468AD-5876-47C4-A3F4-EB9EE2D58BB2}" id="{A7E5841D-9633-41D3-8356-1A34D73840FD}">
    <text>līguma summa</text>
  </threadedComment>
  <threadedComment ref="D17" dT="2025-11-13T10:20:29.01" personId="{446468AD-5876-47C4-A3F4-EB9EE2D58BB2}" id="{8E07311B-EC30-41EB-8CB9-63926279B5ED}">
    <text>līguma summa</text>
  </threadedComment>
  <threadedComment ref="D18" dT="2025-11-13T10:20:47.40" personId="{446468AD-5876-47C4-A3F4-EB9EE2D58BB2}" id="{AEC13894-8F2D-417E-BD5B-002BF2D4120A}">
    <text>līguma summa</text>
  </threadedComment>
</ThreadedComments>
</file>

<file path=xl/threadedComments/threadedComment2.xml><?xml version="1.0" encoding="utf-8"?>
<ThreadedComments xmlns="http://schemas.microsoft.com/office/spreadsheetml/2018/threadedcomments" xmlns:x="http://schemas.openxmlformats.org/spreadsheetml/2006/main">
  <threadedComment ref="D13" dT="2025-04-25T12:36:39.15" personId="{446468AD-5876-47C4-A3F4-EB9EE2D58BB2}" id="{145C875F-28DC-41DF-AF62-0BB4CA82B95C}">
    <text>līguma summa!</text>
  </threadedComment>
</ThreadedComments>
</file>

<file path=xl/threadedComments/threadedComment3.xml><?xml version="1.0" encoding="utf-8"?>
<ThreadedComments xmlns="http://schemas.microsoft.com/office/spreadsheetml/2018/threadedcomments" xmlns:x="http://schemas.openxmlformats.org/spreadsheetml/2006/main">
  <threadedComment ref="K3" dT="2025-10-16T13:03:45.78" personId="{446468AD-5876-47C4-A3F4-EB9EE2D58BB2}" id="{8BE680BA-2E03-42E3-B2C0-9738FE23584B}">
    <text>netika ieturēts</text>
  </threadedComment>
</ThreadedComments>
</file>

<file path=xl/threadedComments/threadedComment4.xml><?xml version="1.0" encoding="utf-8"?>
<ThreadedComments xmlns="http://schemas.microsoft.com/office/spreadsheetml/2018/threadedcomments" xmlns:x="http://schemas.openxmlformats.org/spreadsheetml/2006/main">
  <threadedComment ref="D13" dT="2025-04-25T12:36:39.15" personId="{446468AD-5876-47C4-A3F4-EB9EE2D58BB2}" id="{88F74A0D-6F78-48A2-9274-3F8558D4F7F6}">
    <text>līguma summa!</text>
  </threadedComment>
</ThreadedComments>
</file>

<file path=xl/threadedComments/threadedComment5.xml><?xml version="1.0" encoding="utf-8"?>
<ThreadedComments xmlns="http://schemas.microsoft.com/office/spreadsheetml/2018/threadedcomments" xmlns:x="http://schemas.openxmlformats.org/spreadsheetml/2006/main">
  <threadedComment ref="D12" dT="2025-09-29T06:19:05.44" personId="{446468AD-5876-47C4-A3F4-EB9EE2D58BB2}" id="{D88D809E-56C1-429A-A78B-5CE3B62EBF43}">
    <text>530 paraugu sūtīšana</text>
  </threadedComment>
  <threadedComment ref="D17" dT="2025-09-05T07:38:41.94" personId="{446468AD-5876-47C4-A3F4-EB9EE2D58BB2}" id="{C762DEDA-B730-4006-82FA-7FC2E86FE997}">
    <text>līguma summa</text>
  </threadedComment>
  <threadedComment ref="D24" dT="2025-08-01T09:17:12.59" personId="{446468AD-5876-47C4-A3F4-EB9EE2D58BB2}" id="{63A04A66-E023-43D1-AB18-170A97C7184F}">
    <text xml:space="preserve">jūlijs
</text>
  </threadedComment>
</ThreadedComments>
</file>

<file path=xl/threadedComments/threadedComment6.xml><?xml version="1.0" encoding="utf-8"?>
<ThreadedComments xmlns="http://schemas.microsoft.com/office/spreadsheetml/2018/threadedcomments" xmlns:x="http://schemas.openxmlformats.org/spreadsheetml/2006/main">
  <threadedComment ref="D13" dT="2025-04-25T12:36:39.15" personId="{446468AD-5876-47C4-A3F4-EB9EE2D58BB2}" id="{E6EF396C-6080-476F-937D-6271CCF29126}">
    <text>līguma summa!</text>
  </threadedComment>
</ThreadedComments>
</file>

<file path=xl/threadedComments/threadedComment7.xml><?xml version="1.0" encoding="utf-8"?>
<ThreadedComments xmlns="http://schemas.microsoft.com/office/spreadsheetml/2018/threadedcomments" xmlns:x="http://schemas.openxmlformats.org/spreadsheetml/2006/main">
  <threadedComment ref="D13" dT="2025-04-25T12:36:39.15" personId="{446468AD-5876-47C4-A3F4-EB9EE2D58BB2}" id="{00575DEF-9572-4631-8420-BB375FE0C79F}">
    <text>līguma summa!</text>
  </threadedComment>
</ThreadedComments>
</file>

<file path=xl/threadedComments/threadedComment8.xml><?xml version="1.0" encoding="utf-8"?>
<ThreadedComments xmlns="http://schemas.microsoft.com/office/spreadsheetml/2018/threadedcomments" xmlns:x="http://schemas.openxmlformats.org/spreadsheetml/2006/main">
  <threadedComment ref="D14" dT="2025-04-25T12:36:39.15" personId="{446468AD-5876-47C4-A3F4-EB9EE2D58BB2}" id="{EEE402DF-566B-4BC0-AD92-DE8945DEBE3D}">
    <text>līguma summa!</text>
  </threadedComment>
</ThreadedComments>
</file>

<file path=xl/threadedComments/threadedComment9.xml><?xml version="1.0" encoding="utf-8"?>
<ThreadedComments xmlns="http://schemas.microsoft.com/office/spreadsheetml/2018/threadedcomments" xmlns:x="http://schemas.openxmlformats.org/spreadsheetml/2006/main">
  <threadedComment ref="D14" dT="2025-04-25T12:36:39.15" personId="{446468AD-5876-47C4-A3F4-EB9EE2D58BB2}" id="{45258B27-0226-4558-9DC1-0E1EDD391696}">
    <text>līguma summa!</text>
  </threadedComment>
</ThreadedComments>
</file>

<file path=xl/threadedComments/threadedComment10.xml><?xml version="1.0" encoding="utf-8"?>
<ThreadedComments xmlns="http://schemas.microsoft.com/office/spreadsheetml/2018/threadedcomments" xmlns:x="http://schemas.openxmlformats.org/spreadsheetml/2006/main">
  <threadedComment ref="D12" dT="2025-04-25T12:36:39.15" personId="{446468AD-5876-47C4-A3F4-EB9EE2D58BB2}" id="{187EB6B1-14CC-4822-9689-B2AEC2AFAD66}">
    <text>līguma summa!</text>
  </threadedComment>
  <threadedComment ref="D13" dT="2025-04-28T07:22:33.16" personId="{446468AD-5876-47C4-A3F4-EB9EE2D58BB2}" id="{1A0CFB5F-CC34-4F5B-8A17-EDECEBC28C31}">
    <text>līguma summa</text>
  </threadedComment>
</ThreadedComments>
</file>

<file path=xl/threadedComments/threadedComment11.xml><?xml version="1.0" encoding="utf-8"?>
<ThreadedComments xmlns="http://schemas.microsoft.com/office/spreadsheetml/2018/threadedcomments" xmlns:x="http://schemas.openxmlformats.org/spreadsheetml/2006/main">
  <threadedComment ref="C42" dT="2025-04-04T12:37:02.80" personId="{446468AD-5876-47C4-A3F4-EB9EE2D58BB2}" id="{22ADF53D-8B2A-4A3C-A797-E4DE83FE02A2}">
    <text>Alena trūkstošie čeki</text>
  </threadedComment>
</ThreadedComments>
</file>

<file path=xl/worksheets/_rels/sheet3.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6.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7.xml.rels><?xml version="1.0" encoding="UTF-8" standalone="yes"?>
<Relationships xmlns="http://schemas.openxmlformats.org/package/2006/relationships"><Relationship Id="rId3" Type="http://schemas.microsoft.com/office/2017/10/relationships/threadedComment" Target="../threadedComments/threadedComment3.xml"/><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8.xml.rels><?xml version="1.0" encoding="UTF-8" standalone="yes"?>
<Relationships xmlns="http://schemas.openxmlformats.org/package/2006/relationships"><Relationship Id="rId3" Type="http://schemas.microsoft.com/office/2017/10/relationships/threadedComment" Target="../threadedComments/threadedComment4.xml"/><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10.xml.rels><?xml version="1.0" encoding="UTF-8" standalone="yes"?>
<Relationships xmlns="http://schemas.openxmlformats.org/package/2006/relationships"><Relationship Id="rId3" Type="http://schemas.microsoft.com/office/2017/10/relationships/threadedComment" Target="../threadedComments/threadedComment5.xml"/><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14.xml.rels><?xml version="1.0" encoding="UTF-8" standalone="yes"?>
<Relationships xmlns="http://schemas.openxmlformats.org/package/2006/relationships"><Relationship Id="rId3" Type="http://schemas.microsoft.com/office/2017/10/relationships/threadedComment" Target="../threadedComments/threadedComment6.xml"/><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5.xml.rels><?xml version="1.0" encoding="UTF-8" standalone="yes"?>
<Relationships xmlns="http://schemas.openxmlformats.org/package/2006/relationships"><Relationship Id="rId3" Type="http://schemas.microsoft.com/office/2017/10/relationships/threadedComment" Target="../threadedComments/threadedComment7.xml"/><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16.xml.rels><?xml version="1.0" encoding="UTF-8" standalone="yes"?>
<Relationships xmlns="http://schemas.openxmlformats.org/package/2006/relationships"><Relationship Id="rId3" Type="http://schemas.microsoft.com/office/2017/10/relationships/threadedComment" Target="../threadedComments/threadedComment8.xml"/><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17.xml.rels><?xml version="1.0" encoding="UTF-8" standalone="yes"?>
<Relationships xmlns="http://schemas.openxmlformats.org/package/2006/relationships"><Relationship Id="rId3" Type="http://schemas.microsoft.com/office/2017/10/relationships/threadedComment" Target="../threadedComments/threadedComment9.xml"/><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8.xml.rels><?xml version="1.0" encoding="UTF-8" standalone="yes"?>
<Relationships xmlns="http://schemas.openxmlformats.org/package/2006/relationships"><Relationship Id="rId3" Type="http://schemas.microsoft.com/office/2017/10/relationships/threadedComment" Target="../threadedComments/threadedComment10.xml"/><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19.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drawing" Target="../drawings/drawing1.xml"/><Relationship Id="rId4" Type="http://schemas.microsoft.com/office/2017/10/relationships/threadedComment" Target="../threadedComments/threadedComment11.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C2111-AAA8-414B-B57F-B9120D993B0F}">
  <dimension ref="A1:AK24"/>
  <sheetViews>
    <sheetView workbookViewId="0">
      <pane xSplit="1" topLeftCell="M1" activePane="topRight" state="frozen"/>
      <selection pane="topRight" activeCell="Y8" sqref="Y8"/>
    </sheetView>
  </sheetViews>
  <sheetFormatPr defaultRowHeight="15"/>
  <cols>
    <col min="1" max="1" width="26.85546875" customWidth="1"/>
    <col min="2" max="2" width="9.7109375" style="161" bestFit="1" customWidth="1"/>
    <col min="3" max="3" width="9.140625" style="161" bestFit="1" customWidth="1"/>
    <col min="4" max="4" width="8.5703125" style="161" bestFit="1" customWidth="1"/>
    <col min="5" max="5" width="9.140625" style="161" customWidth="1"/>
    <col min="6" max="6" width="8.7109375" style="161" customWidth="1"/>
    <col min="7" max="7" width="9.140625" style="161" bestFit="1" customWidth="1"/>
    <col min="8" max="8" width="9.85546875" style="161" customWidth="1"/>
    <col min="9" max="9" width="9.28515625" style="161" bestFit="1" customWidth="1"/>
    <col min="10" max="10" width="9.28515625" style="161" customWidth="1"/>
    <col min="11" max="12" width="9.140625" style="161" bestFit="1" customWidth="1"/>
    <col min="13" max="13" width="8.28515625" style="161" customWidth="1"/>
    <col min="14" max="16" width="9.140625" style="161" bestFit="1" customWidth="1"/>
    <col min="17" max="17" width="10" style="161" customWidth="1"/>
    <col min="18" max="18" width="8.140625" style="161" customWidth="1"/>
    <col min="19" max="19" width="11.28515625" style="161" bestFit="1" customWidth="1"/>
    <col min="20" max="20" width="9.140625" style="161" bestFit="1" customWidth="1"/>
    <col min="21" max="21" width="9.7109375" style="161" customWidth="1"/>
    <col min="22" max="22" width="9.140625" style="161" bestFit="1" customWidth="1"/>
    <col min="23" max="24" width="9.140625" style="161" customWidth="1"/>
    <col min="25" max="25" width="12.85546875" customWidth="1"/>
  </cols>
  <sheetData>
    <row r="1" spans="1:37">
      <c r="A1" s="96"/>
      <c r="B1" s="169">
        <v>1</v>
      </c>
      <c r="C1" s="169">
        <v>2</v>
      </c>
      <c r="D1" s="169">
        <v>3</v>
      </c>
      <c r="E1" s="169">
        <v>4</v>
      </c>
      <c r="F1" s="169">
        <v>5</v>
      </c>
      <c r="G1" s="169">
        <v>6</v>
      </c>
      <c r="H1" s="169">
        <v>7</v>
      </c>
      <c r="I1" s="168">
        <v>8</v>
      </c>
      <c r="J1" s="169">
        <v>9</v>
      </c>
      <c r="K1" s="169">
        <v>10</v>
      </c>
      <c r="L1" s="169">
        <v>11</v>
      </c>
      <c r="M1" s="169">
        <v>12</v>
      </c>
      <c r="N1" s="168">
        <v>13</v>
      </c>
      <c r="O1" s="168">
        <v>14</v>
      </c>
      <c r="P1" s="168">
        <v>15</v>
      </c>
      <c r="Q1" s="168">
        <v>16</v>
      </c>
      <c r="R1" s="169">
        <v>17</v>
      </c>
      <c r="S1" s="168">
        <v>18</v>
      </c>
      <c r="T1" s="440">
        <v>19</v>
      </c>
      <c r="U1" s="168">
        <v>20</v>
      </c>
      <c r="V1" s="500">
        <v>21</v>
      </c>
      <c r="W1" s="462">
        <v>22</v>
      </c>
    </row>
    <row r="2" spans="1:37" s="181" customFormat="1">
      <c r="A2" s="345"/>
      <c r="B2" s="388" t="str">
        <f>COL!A1</f>
        <v>COL</v>
      </c>
      <c r="C2" s="388" t="str">
        <f>PAN!A1</f>
        <v>PAN</v>
      </c>
      <c r="D2" s="388" t="str">
        <f>AKR!A1</f>
        <v>AKR</v>
      </c>
      <c r="E2" s="388" t="str">
        <f>INS!A1</f>
        <v>INS</v>
      </c>
      <c r="F2" s="388" t="str">
        <f>LULU!A1</f>
        <v>LULU</v>
      </c>
      <c r="G2" s="388" t="str">
        <f>SWA!A1</f>
        <v>SWA</v>
      </c>
      <c r="H2" s="388" t="str">
        <f>FRO!A1</f>
        <v>FRO</v>
      </c>
      <c r="I2" s="389" t="str">
        <f>'PAN2'!A1</f>
        <v>PAN2</v>
      </c>
      <c r="J2" s="390" t="str">
        <f>STU!A1</f>
        <v>STU</v>
      </c>
      <c r="K2" s="389" t="str">
        <f>'STU2'!A1</f>
        <v>STU2</v>
      </c>
      <c r="L2" s="389" t="str">
        <f>FAL_STU3!A1</f>
        <v>FAL</v>
      </c>
      <c r="M2" s="389" t="str">
        <f>TRIE!A1</f>
        <v>TRI</v>
      </c>
      <c r="N2" s="389" t="str">
        <f>LIN!A1</f>
        <v>LIN</v>
      </c>
      <c r="O2" s="389" t="str">
        <f>KAR!A1</f>
        <v>KAR</v>
      </c>
      <c r="P2" s="389" t="str">
        <f>UGG!A1</f>
        <v>UGG</v>
      </c>
      <c r="Q2" s="389" t="str">
        <f>'FAL2'!A1</f>
        <v>FAL2</v>
      </c>
      <c r="R2" s="391" t="str">
        <f>TES!A1</f>
        <v>TES</v>
      </c>
      <c r="S2" s="389" t="str">
        <f>HOKA!A1</f>
        <v>HOK</v>
      </c>
      <c r="T2" s="441" t="str">
        <f>LUSH!A1</f>
        <v>LUSH</v>
      </c>
      <c r="U2" s="501" t="str">
        <f>DRE!A1</f>
        <v>DRE</v>
      </c>
      <c r="V2" s="502" t="str">
        <f>'PAN3'!A1</f>
        <v>PAN3</v>
      </c>
      <c r="W2" s="463" t="str">
        <f>MIL!A1</f>
        <v>MIL</v>
      </c>
      <c r="X2" s="455"/>
      <c r="Y2" s="392"/>
      <c r="Z2" s="379"/>
      <c r="AA2" s="379"/>
      <c r="AB2" s="379"/>
      <c r="AC2" s="379"/>
      <c r="AD2" s="379"/>
      <c r="AE2" s="379"/>
      <c r="AF2" s="379"/>
      <c r="AG2" s="379"/>
      <c r="AH2" s="379"/>
      <c r="AI2" s="379"/>
      <c r="AJ2" s="379"/>
      <c r="AK2" s="379"/>
    </row>
    <row r="3" spans="1:37">
      <c r="A3" s="74" t="s">
        <v>0</v>
      </c>
      <c r="B3" s="162">
        <f>COL!M4</f>
        <v>46000</v>
      </c>
      <c r="C3" s="162">
        <f>PAN!M4</f>
        <v>59771.61</v>
      </c>
      <c r="D3" s="162">
        <f>AKR!K4</f>
        <v>15496</v>
      </c>
      <c r="E3" s="162">
        <f>INS!K4</f>
        <v>60000</v>
      </c>
      <c r="F3" s="162">
        <f>LULU!K4</f>
        <v>38063.1</v>
      </c>
      <c r="G3" s="162">
        <f>SWA!H2</f>
        <v>145000</v>
      </c>
      <c r="H3" s="162">
        <f>FRO!O4</f>
        <v>23863.621904112704</v>
      </c>
      <c r="I3" s="163">
        <f>'PAN2'!H3</f>
        <v>75326.52</v>
      </c>
      <c r="J3" s="186">
        <f>STU!H3</f>
        <v>29275</v>
      </c>
      <c r="K3" s="163">
        <f>'STU2'!H3</f>
        <v>28721.003797299163</v>
      </c>
      <c r="L3" s="163">
        <f>FAL_STU3!H3</f>
        <v>32248</v>
      </c>
      <c r="M3" s="163">
        <f>TRIE!H3</f>
        <v>49600</v>
      </c>
      <c r="N3" s="163">
        <f>LIN!H3</f>
        <v>96000</v>
      </c>
      <c r="O3" s="163">
        <f>KAR!H3</f>
        <v>110000</v>
      </c>
      <c r="P3" s="163">
        <f>UGG!H3</f>
        <v>217968.89</v>
      </c>
      <c r="Q3" s="163">
        <f>'FAL2'!H3</f>
        <v>140000</v>
      </c>
      <c r="R3" s="163">
        <f>TES!H3</f>
        <v>23000</v>
      </c>
      <c r="S3" s="163">
        <f>HOKA!H3</f>
        <v>436134.78</v>
      </c>
      <c r="T3" s="446">
        <f>LUSH!H3</f>
        <v>108322.61</v>
      </c>
      <c r="U3" s="503">
        <f>DRE!H3</f>
        <v>118500</v>
      </c>
      <c r="V3" s="504">
        <f>'PAN3'!H3</f>
        <v>60866.14</v>
      </c>
      <c r="W3" s="464">
        <f>MIL!H3</f>
        <v>658853.39</v>
      </c>
      <c r="X3" s="456"/>
      <c r="Y3" s="317">
        <f>SUM(B3:V3)</f>
        <v>1914157.2757014118</v>
      </c>
      <c r="Z3" s="43"/>
      <c r="AA3" s="43"/>
      <c r="AB3" s="43"/>
      <c r="AC3" s="43"/>
      <c r="AD3" s="43"/>
      <c r="AE3" s="43"/>
      <c r="AF3" s="43"/>
      <c r="AG3" s="43"/>
      <c r="AH3" s="43"/>
      <c r="AI3" s="43"/>
      <c r="AJ3" s="43"/>
      <c r="AK3" s="43"/>
    </row>
    <row r="4" spans="1:37">
      <c r="A4" s="74" t="s">
        <v>1</v>
      </c>
      <c r="B4" s="162">
        <f>COL!M5</f>
        <v>0</v>
      </c>
      <c r="C4" s="162">
        <f>PAN!M5</f>
        <v>7538.2</v>
      </c>
      <c r="D4" s="162">
        <f>AKR!K5</f>
        <v>0</v>
      </c>
      <c r="E4" s="162">
        <f>INS!K5</f>
        <v>0</v>
      </c>
      <c r="F4" s="162">
        <f>LULU!K5</f>
        <v>0</v>
      </c>
      <c r="G4" s="162">
        <f>SWA!H3</f>
        <v>10574.43</v>
      </c>
      <c r="H4" s="162">
        <f>FRO!O5</f>
        <v>5500</v>
      </c>
      <c r="I4" s="163">
        <f>'PAN2'!H4</f>
        <v>9698.1</v>
      </c>
      <c r="J4" s="186">
        <f>STU!H4</f>
        <v>0</v>
      </c>
      <c r="K4" s="163">
        <f>'STU2'!H4</f>
        <v>15387.47</v>
      </c>
      <c r="L4" s="163">
        <f>FAL_STU3!H4</f>
        <v>12035.279999999999</v>
      </c>
      <c r="M4" s="163">
        <f>TRIE!H4</f>
        <v>1858.66</v>
      </c>
      <c r="N4" s="163">
        <f>LIN!H4</f>
        <v>13116.87</v>
      </c>
      <c r="O4" s="163">
        <f>KAR!H4</f>
        <v>22635</v>
      </c>
      <c r="P4" s="163">
        <f>UGG!H4</f>
        <v>10000</v>
      </c>
      <c r="Q4" s="163">
        <f>'FAL2'!H4</f>
        <v>2161.77</v>
      </c>
      <c r="R4" s="163">
        <f>TES!H4</f>
        <v>0</v>
      </c>
      <c r="S4" s="163">
        <f>HOKA!H4</f>
        <v>82558.889999999985</v>
      </c>
      <c r="T4" s="446">
        <f>LUSH!H4</f>
        <v>5679.47</v>
      </c>
      <c r="U4" s="503">
        <f>DRE!H4</f>
        <v>6000</v>
      </c>
      <c r="V4" s="505">
        <f>'PAN3'!H4</f>
        <v>5598.0300000000007</v>
      </c>
      <c r="W4" s="465">
        <f>MIL!H4</f>
        <v>24164.34</v>
      </c>
      <c r="X4" s="457"/>
      <c r="Y4" s="317">
        <f>SUM(B4:V4)</f>
        <v>210342.16999999998</v>
      </c>
      <c r="Z4" s="43"/>
      <c r="AA4" s="43"/>
      <c r="AB4" s="43"/>
      <c r="AC4" s="43"/>
      <c r="AD4" s="43"/>
      <c r="AE4" s="43"/>
      <c r="AF4" s="43"/>
      <c r="AG4" s="43"/>
      <c r="AH4" s="43"/>
      <c r="AI4" s="43"/>
      <c r="AJ4" s="43"/>
      <c r="AK4" s="43"/>
    </row>
    <row r="5" spans="1:37">
      <c r="A5" s="96" t="s">
        <v>2</v>
      </c>
      <c r="B5" s="162">
        <f>B3+B4</f>
        <v>46000</v>
      </c>
      <c r="C5" s="162">
        <f t="shared" ref="C5:W5" si="0">C3+C4</f>
        <v>67309.81</v>
      </c>
      <c r="D5" s="162">
        <f t="shared" si="0"/>
        <v>15496</v>
      </c>
      <c r="E5" s="162">
        <f t="shared" si="0"/>
        <v>60000</v>
      </c>
      <c r="F5" s="162">
        <f t="shared" si="0"/>
        <v>38063.1</v>
      </c>
      <c r="G5" s="162">
        <f t="shared" si="0"/>
        <v>155574.43</v>
      </c>
      <c r="H5" s="162">
        <f t="shared" si="0"/>
        <v>29363.621904112704</v>
      </c>
      <c r="I5" s="163">
        <f t="shared" si="0"/>
        <v>85024.62000000001</v>
      </c>
      <c r="J5" s="186">
        <f t="shared" si="0"/>
        <v>29275</v>
      </c>
      <c r="K5" s="163">
        <f t="shared" si="0"/>
        <v>44108.473797299164</v>
      </c>
      <c r="L5" s="163">
        <f t="shared" si="0"/>
        <v>44283.28</v>
      </c>
      <c r="M5" s="163">
        <f t="shared" si="0"/>
        <v>51458.66</v>
      </c>
      <c r="N5" s="163">
        <f t="shared" si="0"/>
        <v>109116.87</v>
      </c>
      <c r="O5" s="163">
        <f t="shared" si="0"/>
        <v>132635</v>
      </c>
      <c r="P5" s="163">
        <f t="shared" si="0"/>
        <v>227968.89</v>
      </c>
      <c r="Q5" s="163">
        <f t="shared" si="0"/>
        <v>142161.76999999999</v>
      </c>
      <c r="R5" s="163">
        <f t="shared" si="0"/>
        <v>23000</v>
      </c>
      <c r="S5" s="163">
        <f t="shared" si="0"/>
        <v>518693.67000000004</v>
      </c>
      <c r="T5" s="442">
        <f t="shared" si="0"/>
        <v>114002.08</v>
      </c>
      <c r="U5" s="503">
        <f t="shared" si="0"/>
        <v>124500</v>
      </c>
      <c r="V5" s="504">
        <f t="shared" si="0"/>
        <v>66464.17</v>
      </c>
      <c r="W5" s="464">
        <f t="shared" si="0"/>
        <v>683017.73</v>
      </c>
      <c r="X5" s="456"/>
      <c r="Y5" s="317">
        <f>SUM(B5:V5)</f>
        <v>2124499.4457014119</v>
      </c>
      <c r="Z5" s="43"/>
      <c r="AA5" s="43"/>
      <c r="AB5" s="43"/>
      <c r="AC5" s="43"/>
      <c r="AD5" s="43"/>
      <c r="AE5" s="43"/>
      <c r="AF5" s="43"/>
      <c r="AG5" s="43"/>
      <c r="AH5" s="43"/>
      <c r="AI5" s="43"/>
      <c r="AJ5" s="43"/>
      <c r="AK5" s="43"/>
    </row>
    <row r="6" spans="1:37" ht="30.75" customHeight="1">
      <c r="A6" s="96" t="s">
        <v>3</v>
      </c>
      <c r="B6" s="180" t="s">
        <v>4</v>
      </c>
      <c r="C6" s="164" t="s">
        <v>4</v>
      </c>
      <c r="D6" s="164" t="s">
        <v>5</v>
      </c>
      <c r="E6" s="164" t="s">
        <v>5</v>
      </c>
      <c r="F6" s="429" t="s">
        <v>6</v>
      </c>
      <c r="G6" s="164" t="s">
        <v>5</v>
      </c>
      <c r="H6" s="164" t="s">
        <v>5</v>
      </c>
      <c r="I6" s="165" t="s">
        <v>7</v>
      </c>
      <c r="J6" s="166" t="s">
        <v>5</v>
      </c>
      <c r="K6" s="168" t="s">
        <v>4</v>
      </c>
      <c r="L6" s="168" t="s">
        <v>4</v>
      </c>
      <c r="M6" s="168" t="s">
        <v>5</v>
      </c>
      <c r="N6" s="168" t="s">
        <v>4</v>
      </c>
      <c r="O6" s="168" t="s">
        <v>5</v>
      </c>
      <c r="P6" s="498" t="s">
        <v>6</v>
      </c>
      <c r="Q6" s="179" t="s">
        <v>4</v>
      </c>
      <c r="R6" s="179" t="s">
        <v>4</v>
      </c>
      <c r="S6" s="499" t="s">
        <v>8</v>
      </c>
      <c r="T6" s="440" t="s">
        <v>5</v>
      </c>
      <c r="U6" s="506" t="s">
        <v>4</v>
      </c>
      <c r="V6" s="500" t="s">
        <v>7</v>
      </c>
      <c r="W6" s="462" t="s">
        <v>5</v>
      </c>
      <c r="X6" s="176"/>
      <c r="Y6" s="317"/>
      <c r="Z6" s="43"/>
      <c r="AA6" s="43"/>
      <c r="AB6" s="43"/>
      <c r="AC6" s="43"/>
      <c r="AD6" s="43"/>
      <c r="AE6" s="43"/>
      <c r="AF6" s="43"/>
      <c r="AG6" s="43"/>
      <c r="AH6" s="43"/>
      <c r="AI6" s="43"/>
      <c r="AJ6" s="43"/>
      <c r="AK6" s="43"/>
    </row>
    <row r="7" spans="1:37">
      <c r="A7" s="74"/>
      <c r="B7" s="169"/>
      <c r="C7" s="169"/>
      <c r="D7" s="169"/>
      <c r="E7" s="169"/>
      <c r="F7" s="169"/>
      <c r="G7" s="169"/>
      <c r="H7" s="169"/>
      <c r="I7" s="168"/>
      <c r="J7" s="167"/>
      <c r="K7" s="168"/>
      <c r="L7" s="168"/>
      <c r="M7" s="168"/>
      <c r="N7" s="168"/>
      <c r="O7" s="168"/>
      <c r="P7" s="168"/>
      <c r="Q7" s="168"/>
      <c r="R7" s="168"/>
      <c r="S7" s="168"/>
      <c r="T7" s="440"/>
      <c r="U7" s="506"/>
      <c r="V7" s="500"/>
      <c r="W7" s="462"/>
      <c r="X7" s="176"/>
      <c r="Y7" s="317"/>
      <c r="Z7" s="43"/>
      <c r="AA7" s="43"/>
      <c r="AB7" s="43"/>
      <c r="AC7" s="43"/>
      <c r="AD7" s="43"/>
      <c r="AE7" s="43"/>
      <c r="AF7" s="43"/>
      <c r="AG7" s="43"/>
      <c r="AH7" s="43"/>
      <c r="AI7" s="43"/>
      <c r="AJ7" s="43"/>
      <c r="AK7" s="43"/>
    </row>
    <row r="8" spans="1:37">
      <c r="A8" s="96" t="s">
        <v>9</v>
      </c>
      <c r="B8" s="170">
        <f>COL!Z6</f>
        <v>606</v>
      </c>
      <c r="C8" s="170">
        <f>PAN!Z6</f>
        <v>519</v>
      </c>
      <c r="D8" s="170">
        <f>AKR!Y6</f>
        <v>0</v>
      </c>
      <c r="E8" s="170">
        <f>INS!M6</f>
        <v>201</v>
      </c>
      <c r="F8" s="170">
        <f>LULU!X6</f>
        <v>0</v>
      </c>
      <c r="G8" s="170">
        <f>SWA!C24</f>
        <v>1036.92</v>
      </c>
      <c r="H8" s="170">
        <f>FRO!AB6</f>
        <v>188</v>
      </c>
      <c r="I8" s="171">
        <f>'PAN2'!C29</f>
        <v>1195</v>
      </c>
      <c r="J8" s="172">
        <f>STU!C26</f>
        <v>349.74</v>
      </c>
      <c r="K8" s="171">
        <f>'STU2'!C26</f>
        <v>457.03999999999996</v>
      </c>
      <c r="L8" s="171">
        <f>FAL_STU3!C25</f>
        <v>593.75</v>
      </c>
      <c r="M8" s="171">
        <f>TRIE!C25</f>
        <v>843</v>
      </c>
      <c r="N8" s="171">
        <f>LIN!C25</f>
        <v>1225</v>
      </c>
      <c r="O8" s="171">
        <f>KAR!C25</f>
        <v>1389.6</v>
      </c>
      <c r="P8" s="171">
        <f>UGG!C30</f>
        <v>1522</v>
      </c>
      <c r="Q8" s="171">
        <f>'FAL2'!C26</f>
        <v>1596</v>
      </c>
      <c r="R8" s="171">
        <f>TES!C25</f>
        <v>304</v>
      </c>
      <c r="S8" s="171">
        <f>HOKA!C34</f>
        <v>2762.4483333333333</v>
      </c>
      <c r="T8" s="443">
        <f>LUSH!C25</f>
        <v>740</v>
      </c>
      <c r="U8" s="507">
        <f>DRE!C25</f>
        <v>1584.4</v>
      </c>
      <c r="V8" s="508">
        <f>'PAN3'!C27</f>
        <v>764.3</v>
      </c>
      <c r="W8" s="466">
        <f>MIL!C27</f>
        <v>0</v>
      </c>
      <c r="X8" s="458"/>
      <c r="Y8" s="317"/>
      <c r="Z8" s="43"/>
      <c r="AA8" s="43"/>
      <c r="AB8" s="43"/>
      <c r="AC8" s="43"/>
      <c r="AD8" s="43"/>
      <c r="AE8" s="43"/>
      <c r="AF8" s="43"/>
      <c r="AG8" s="43"/>
      <c r="AH8" s="43"/>
      <c r="AI8" s="43"/>
      <c r="AJ8" s="43"/>
      <c r="AK8" s="43"/>
    </row>
    <row r="9" spans="1:37">
      <c r="A9" s="96" t="s">
        <v>10</v>
      </c>
      <c r="B9" s="164">
        <f>COL!Z7</f>
        <v>721.57999999999993</v>
      </c>
      <c r="C9" s="164">
        <f>PAN!Z7</f>
        <v>734.6</v>
      </c>
      <c r="D9" s="170">
        <f>AKR!Y7</f>
        <v>0</v>
      </c>
      <c r="E9" s="164">
        <f>INS!M7</f>
        <v>223.47</v>
      </c>
      <c r="F9" s="164">
        <f>LULU!X7</f>
        <v>27.84</v>
      </c>
      <c r="G9" s="164">
        <f>SWA!D24</f>
        <v>979.90000000000009</v>
      </c>
      <c r="H9" s="164">
        <f>FRO!AB7</f>
        <v>166.47</v>
      </c>
      <c r="I9" s="171">
        <f>'PAN2'!D29</f>
        <v>969.8</v>
      </c>
      <c r="J9" s="172">
        <f>STU!D26</f>
        <v>359</v>
      </c>
      <c r="K9" s="165">
        <f>'STU2'!D26</f>
        <v>467.05</v>
      </c>
      <c r="L9" s="165">
        <f>FAL_STU3!D25</f>
        <v>617.32000000000005</v>
      </c>
      <c r="M9" s="165">
        <f>TRIE!D25</f>
        <v>791.36</v>
      </c>
      <c r="N9" s="165">
        <f>LIN!D25</f>
        <v>1150.6500000000001</v>
      </c>
      <c r="O9" s="165">
        <f>KAR!D25</f>
        <v>1380.7800000000002</v>
      </c>
      <c r="P9" s="171">
        <f>UGG!D30</f>
        <v>1641.2700000000002</v>
      </c>
      <c r="Q9" s="165">
        <f>'FAL2'!D26</f>
        <v>1501.2399999999998</v>
      </c>
      <c r="R9" s="165">
        <f>TES!D25</f>
        <v>271</v>
      </c>
      <c r="S9" s="165">
        <f>HOKA!D34</f>
        <v>2551.44</v>
      </c>
      <c r="T9" s="443">
        <f>LUSH!D25</f>
        <v>781.36</v>
      </c>
      <c r="U9" s="507">
        <f>DRE!D25</f>
        <v>1512.2899999999997</v>
      </c>
      <c r="V9" s="509">
        <f>'PAN3'!D27</f>
        <v>739.30000000000007</v>
      </c>
      <c r="W9" s="467">
        <f>MIL!D27</f>
        <v>184.78</v>
      </c>
      <c r="X9" s="459"/>
      <c r="Y9" s="317"/>
      <c r="Z9" s="43"/>
      <c r="AA9" s="43"/>
      <c r="AB9" s="43"/>
      <c r="AC9" s="43"/>
      <c r="AD9" s="43"/>
      <c r="AE9" s="43"/>
      <c r="AF9" s="43"/>
      <c r="AG9" s="43"/>
      <c r="AH9" s="43"/>
      <c r="AI9" s="43"/>
      <c r="AJ9" s="43"/>
      <c r="AK9" s="43"/>
    </row>
    <row r="10" spans="1:37">
      <c r="A10" s="96" t="s">
        <v>11</v>
      </c>
      <c r="B10" s="174">
        <f t="shared" ref="B10:O10" si="1">B8-B9</f>
        <v>-115.57999999999993</v>
      </c>
      <c r="C10" s="174">
        <f t="shared" si="1"/>
        <v>-215.60000000000002</v>
      </c>
      <c r="D10" s="174">
        <f t="shared" si="1"/>
        <v>0</v>
      </c>
      <c r="E10" s="174">
        <f t="shared" si="1"/>
        <v>-22.47</v>
      </c>
      <c r="F10" s="174">
        <f t="shared" si="1"/>
        <v>-27.84</v>
      </c>
      <c r="G10" s="174">
        <f t="shared" si="1"/>
        <v>57.019999999999982</v>
      </c>
      <c r="H10" s="174">
        <f t="shared" si="1"/>
        <v>21.53</v>
      </c>
      <c r="I10" s="175">
        <f t="shared" si="1"/>
        <v>225.20000000000005</v>
      </c>
      <c r="J10" s="174">
        <f t="shared" si="1"/>
        <v>-9.2599999999999909</v>
      </c>
      <c r="K10" s="175">
        <f t="shared" si="1"/>
        <v>-10.010000000000048</v>
      </c>
      <c r="L10" s="175">
        <f t="shared" si="1"/>
        <v>-23.57000000000005</v>
      </c>
      <c r="M10" s="175">
        <f t="shared" si="1"/>
        <v>51.639999999999986</v>
      </c>
      <c r="N10" s="175">
        <f t="shared" si="1"/>
        <v>74.349999999999909</v>
      </c>
      <c r="O10" s="175">
        <f t="shared" si="1"/>
        <v>8.819999999999709</v>
      </c>
      <c r="P10" s="175">
        <f>P8-P9</f>
        <v>-119.27000000000021</v>
      </c>
      <c r="Q10" s="175">
        <f t="shared" ref="Q10:S10" si="2">Q8-Q9</f>
        <v>94.760000000000218</v>
      </c>
      <c r="R10" s="175">
        <f t="shared" si="2"/>
        <v>33</v>
      </c>
      <c r="S10" s="175">
        <f t="shared" si="2"/>
        <v>211.00833333333321</v>
      </c>
      <c r="T10" s="444">
        <f>T8-T9</f>
        <v>-41.360000000000014</v>
      </c>
      <c r="U10" s="175">
        <f>U8-U9</f>
        <v>72.110000000000355</v>
      </c>
      <c r="V10" s="510">
        <f>V8-V9</f>
        <v>24.999999999999886</v>
      </c>
      <c r="W10" s="468">
        <f t="shared" ref="W10" si="3">W8-W9</f>
        <v>-184.78</v>
      </c>
      <c r="X10" s="460"/>
      <c r="Y10" s="317"/>
      <c r="Z10" s="43"/>
      <c r="AA10" s="43"/>
      <c r="AB10" s="43"/>
      <c r="AC10" s="43"/>
      <c r="AD10" s="43"/>
      <c r="AE10" s="43"/>
      <c r="AF10" s="43"/>
      <c r="AG10" s="43"/>
      <c r="AH10" s="43"/>
      <c r="AI10" s="43"/>
      <c r="AJ10" s="43"/>
      <c r="AK10" s="43"/>
    </row>
    <row r="11" spans="1:37">
      <c r="A11" s="96"/>
      <c r="B11" s="169"/>
      <c r="C11" s="169"/>
      <c r="D11" s="169"/>
      <c r="E11" s="169"/>
      <c r="F11" s="169"/>
      <c r="G11" s="169"/>
      <c r="H11" s="169"/>
      <c r="I11" s="168"/>
      <c r="J11" s="167"/>
      <c r="K11" s="168"/>
      <c r="L11" s="168"/>
      <c r="M11" s="168"/>
      <c r="N11" s="168"/>
      <c r="O11" s="168"/>
      <c r="P11" s="168"/>
      <c r="Q11" s="168"/>
      <c r="R11" s="168"/>
      <c r="S11" s="168"/>
      <c r="T11" s="440"/>
      <c r="U11" s="506"/>
      <c r="V11" s="500"/>
      <c r="W11" s="462"/>
      <c r="X11" s="176"/>
      <c r="Y11" s="317"/>
      <c r="Z11" s="43"/>
      <c r="AA11" s="43"/>
      <c r="AB11" s="43"/>
      <c r="AC11" s="43"/>
      <c r="AD11" s="43"/>
      <c r="AE11" s="43"/>
      <c r="AF11" s="43"/>
      <c r="AG11" s="43"/>
      <c r="AH11" s="43"/>
      <c r="AI11" s="43"/>
      <c r="AJ11" s="43"/>
      <c r="AK11" s="43"/>
    </row>
    <row r="12" spans="1:37">
      <c r="A12" s="96" t="s">
        <v>12</v>
      </c>
      <c r="B12" s="448">
        <f>COL!J20</f>
        <v>0.25009078934434759</v>
      </c>
      <c r="C12" s="448">
        <f>PAN!J18</f>
        <v>0.12963937873897427</v>
      </c>
      <c r="D12" s="448">
        <f>AKR!H19</f>
        <v>0.22605152598791961</v>
      </c>
      <c r="E12" s="448">
        <f>INS!H19</f>
        <v>0.29611890390034679</v>
      </c>
      <c r="F12" s="448">
        <f>LULU!H18</f>
        <v>0.26142266968745786</v>
      </c>
      <c r="G12" s="448">
        <f>SWA!H5/(SWA!H2+SWA!H3)</f>
        <v>7.3712101669447722E-2</v>
      </c>
      <c r="H12" s="448">
        <f>FRO!L18</f>
        <v>0.42997071026888045</v>
      </c>
      <c r="I12" s="447">
        <f>I13/I5</f>
        <v>0.25665309701970579</v>
      </c>
      <c r="J12" s="449">
        <f>J13/J5</f>
        <v>0.48740875405129813</v>
      </c>
      <c r="K12" s="449">
        <f t="shared" ref="K12:W12" si="4">K13/K5</f>
        <v>0.50013430799441061</v>
      </c>
      <c r="L12" s="449">
        <f t="shared" si="4"/>
        <v>0.43655057563627658</v>
      </c>
      <c r="M12" s="449">
        <f t="shared" si="4"/>
        <v>0.22795423219967265</v>
      </c>
      <c r="N12" s="447">
        <f t="shared" si="4"/>
        <v>0.2791325401602448</v>
      </c>
      <c r="O12" s="447">
        <f t="shared" si="4"/>
        <v>0.1804470216054907</v>
      </c>
      <c r="P12" s="447">
        <f t="shared" si="4"/>
        <v>0.28454773726567878</v>
      </c>
      <c r="Q12" s="447">
        <f t="shared" si="4"/>
        <v>0.17046644450604406</v>
      </c>
      <c r="R12" s="449">
        <f t="shared" si="4"/>
        <v>0.41020931074186084</v>
      </c>
      <c r="S12" s="447">
        <f t="shared" si="4"/>
        <v>0.3564987492069539</v>
      </c>
      <c r="T12" s="450">
        <f t="shared" si="4"/>
        <v>0.37927218219460329</v>
      </c>
      <c r="U12" s="447">
        <f t="shared" si="4"/>
        <v>0.20370135030329303</v>
      </c>
      <c r="V12" s="511">
        <f t="shared" si="4"/>
        <v>0.20165923677193284</v>
      </c>
      <c r="W12" s="469">
        <f t="shared" si="4"/>
        <v>0.30350921417392784</v>
      </c>
      <c r="X12" s="461">
        <f>AVERAGE(B12:V12)</f>
        <v>0.28769721996451614</v>
      </c>
      <c r="Y12" s="317"/>
      <c r="Z12" s="43"/>
      <c r="AA12" s="43"/>
      <c r="AB12" s="43"/>
      <c r="AC12" s="43"/>
      <c r="AD12" s="43"/>
      <c r="AE12" s="43"/>
      <c r="AF12" s="43"/>
      <c r="AG12" s="43"/>
      <c r="AH12" s="43"/>
      <c r="AI12" s="43"/>
      <c r="AJ12" s="43"/>
      <c r="AK12" s="43"/>
    </row>
    <row r="13" spans="1:37">
      <c r="A13" s="96" t="s">
        <v>13</v>
      </c>
      <c r="B13" s="178">
        <f>COL!I20</f>
        <v>11504.17630983999</v>
      </c>
      <c r="C13" s="178">
        <f>PAN!I18</f>
        <v>8726.0019514383966</v>
      </c>
      <c r="D13" s="178">
        <f>AKR!G19</f>
        <v>3502.8944467088022</v>
      </c>
      <c r="E13" s="178">
        <f>INS!G19</f>
        <v>17767.134234020807</v>
      </c>
      <c r="F13" s="428">
        <f>LULU!G18</f>
        <v>9950.5572185806777</v>
      </c>
      <c r="G13" s="178">
        <f>SWA!H5</f>
        <v>11467.718201326377</v>
      </c>
      <c r="H13" s="178">
        <f>FRO!K18</f>
        <v>12625.497366178195</v>
      </c>
      <c r="I13" s="177">
        <f>'PAN2'!H6</f>
        <v>21821.83204592362</v>
      </c>
      <c r="J13" s="173">
        <f>STU!H6</f>
        <v>14268.891274851752</v>
      </c>
      <c r="K13" s="177">
        <f>'STU2'!H6</f>
        <v>22060.16101930181</v>
      </c>
      <c r="L13" s="177">
        <f>FAL_STU3!H6</f>
        <v>19331.891375062412</v>
      </c>
      <c r="M13" s="177">
        <f>TRIE!H6</f>
        <v>11730.219330324007</v>
      </c>
      <c r="N13" s="177">
        <f>LIN!H6</f>
        <v>30458.069097435211</v>
      </c>
      <c r="O13" s="177">
        <f>KAR!H6</f>
        <v>23933.590710644257</v>
      </c>
      <c r="P13" s="177">
        <f>UGG!H6</f>
        <v>64868.031816468429</v>
      </c>
      <c r="Q13" s="177">
        <f>'FAL2'!H6</f>
        <v>24233.811476585997</v>
      </c>
      <c r="R13" s="177">
        <f>TES!H6</f>
        <v>9434.8141470627997</v>
      </c>
      <c r="S13" s="177">
        <f>HOKA!H6</f>
        <v>184913.64457656452</v>
      </c>
      <c r="T13" s="445">
        <f>LUSH!H6</f>
        <v>43237.817656323743</v>
      </c>
      <c r="U13" s="512">
        <f>DRE!H6</f>
        <v>25360.818112759982</v>
      </c>
      <c r="V13" s="513">
        <f>'PAN3'!H6</f>
        <v>13403.113794879995</v>
      </c>
      <c r="W13" s="470">
        <f>MIL!H6</f>
        <v>207302.17449916</v>
      </c>
      <c r="X13" s="184"/>
      <c r="Y13" s="317">
        <f>SUM(B13:V13)</f>
        <v>584600.68616228178</v>
      </c>
      <c r="Z13" s="43"/>
      <c r="AA13" s="43"/>
      <c r="AB13" s="43"/>
      <c r="AC13" s="43"/>
      <c r="AD13" s="43"/>
      <c r="AE13" s="43"/>
      <c r="AF13" s="43"/>
      <c r="AG13" s="43"/>
      <c r="AH13" s="43"/>
      <c r="AI13" s="43"/>
      <c r="AJ13" s="43"/>
      <c r="AK13" s="43"/>
    </row>
    <row r="14" spans="1:37">
      <c r="A14" s="96" t="s">
        <v>14</v>
      </c>
      <c r="B14" s="178">
        <f>COL!I12</f>
        <v>3220.0000000000005</v>
      </c>
      <c r="C14" s="178">
        <f>PAN!I12</f>
        <v>4711.6867000000002</v>
      </c>
      <c r="D14" s="178">
        <f>AKR!G12</f>
        <v>1084.72</v>
      </c>
      <c r="E14" s="178">
        <f>INS!G12</f>
        <v>4200</v>
      </c>
      <c r="F14" s="178">
        <f>LULU!G12</f>
        <v>280.64517449920004</v>
      </c>
      <c r="G14" s="178">
        <f>SWA!H4</f>
        <v>10890.2101</v>
      </c>
      <c r="H14" s="178">
        <f>FRO!K12</f>
        <v>2055.4535332878895</v>
      </c>
      <c r="I14" s="177">
        <f>'PAN2'!H5</f>
        <v>5951.7234000000017</v>
      </c>
      <c r="J14" s="178">
        <f>J5*0.07</f>
        <v>2049.25</v>
      </c>
      <c r="K14" s="178">
        <f t="shared" ref="K14:V14" si="5">K5*0.07</f>
        <v>3087.5931658109416</v>
      </c>
      <c r="L14" s="178">
        <f t="shared" si="5"/>
        <v>3099.8296</v>
      </c>
      <c r="M14" s="178">
        <f t="shared" si="5"/>
        <v>3602.1062000000006</v>
      </c>
      <c r="N14" s="177">
        <f t="shared" si="5"/>
        <v>7638.1809000000003</v>
      </c>
      <c r="O14" s="177">
        <f t="shared" si="5"/>
        <v>9284.4500000000007</v>
      </c>
      <c r="P14" s="177">
        <f t="shared" si="5"/>
        <v>15957.822300000002</v>
      </c>
      <c r="Q14" s="177">
        <f t="shared" si="5"/>
        <v>9951.3238999999994</v>
      </c>
      <c r="R14" s="178">
        <f t="shared" si="5"/>
        <v>1610.0000000000002</v>
      </c>
      <c r="S14" s="177">
        <f t="shared" si="5"/>
        <v>36308.556900000003</v>
      </c>
      <c r="T14" s="445">
        <f t="shared" si="5"/>
        <v>7980.1456000000007</v>
      </c>
      <c r="U14" s="177">
        <f t="shared" si="5"/>
        <v>8715</v>
      </c>
      <c r="V14" s="513">
        <f t="shared" si="5"/>
        <v>4652.4919</v>
      </c>
      <c r="W14" s="470">
        <f>MIL!H5</f>
        <v>47811.241100000007</v>
      </c>
      <c r="X14" s="182"/>
      <c r="Y14" s="317">
        <f>SUM(B14:V14)</f>
        <v>146331.18937359803</v>
      </c>
      <c r="Z14" s="321">
        <f>Y13/Y5</f>
        <v>0.27517102315330261</v>
      </c>
      <c r="AA14" s="43"/>
      <c r="AB14" s="43"/>
      <c r="AC14" s="43"/>
      <c r="AD14" s="43"/>
      <c r="AE14" s="43"/>
      <c r="AF14" s="43"/>
      <c r="AG14" s="43"/>
      <c r="AH14" s="43"/>
      <c r="AI14" s="43"/>
      <c r="AJ14" s="43"/>
      <c r="AK14" s="43"/>
    </row>
    <row r="15" spans="1:37">
      <c r="T15" s="176"/>
      <c r="U15" s="176"/>
      <c r="V15" s="176"/>
      <c r="W15" s="176"/>
      <c r="X15" s="176"/>
      <c r="Y15" s="43"/>
      <c r="Z15" s="43"/>
      <c r="AA15" s="43"/>
      <c r="AB15" s="43"/>
      <c r="AC15" s="43"/>
      <c r="AD15" s="43"/>
      <c r="AE15" s="43"/>
      <c r="AF15" s="43"/>
      <c r="AG15" s="43"/>
      <c r="AH15" s="43"/>
      <c r="AI15" s="43"/>
      <c r="AJ15" s="43"/>
      <c r="AK15" s="43"/>
    </row>
    <row r="16" spans="1:37">
      <c r="T16" s="176"/>
      <c r="U16" s="176"/>
      <c r="V16" s="176"/>
      <c r="W16" s="176"/>
      <c r="X16" s="176"/>
      <c r="Y16" s="43"/>
      <c r="Z16" s="43"/>
      <c r="AA16" s="43"/>
      <c r="AB16" s="43"/>
      <c r="AC16" s="43"/>
      <c r="AD16" s="43"/>
      <c r="AE16" s="43"/>
      <c r="AF16" s="43"/>
      <c r="AG16" s="43"/>
      <c r="AH16" s="43"/>
      <c r="AI16" s="43"/>
      <c r="AJ16" s="43"/>
      <c r="AK16" s="43"/>
    </row>
    <row r="17" spans="3:37">
      <c r="T17" s="176"/>
      <c r="U17" s="176"/>
      <c r="V17" s="176"/>
      <c r="W17" s="176"/>
      <c r="X17" s="176"/>
      <c r="Y17" s="43"/>
      <c r="Z17" s="43"/>
      <c r="AA17" s="43"/>
      <c r="AB17" s="43"/>
      <c r="AC17" s="43"/>
      <c r="AD17" s="43"/>
      <c r="AE17" s="43"/>
      <c r="AF17" s="43"/>
      <c r="AG17" s="43"/>
      <c r="AH17" s="43"/>
      <c r="AI17" s="43"/>
      <c r="AJ17" s="43"/>
      <c r="AK17" s="43"/>
    </row>
    <row r="18" spans="3:37">
      <c r="T18" s="176"/>
      <c r="U18" s="176"/>
      <c r="V18" s="176"/>
      <c r="W18" s="176"/>
      <c r="X18" s="176"/>
      <c r="Y18" s="43"/>
      <c r="Z18" s="43"/>
      <c r="AA18" s="43"/>
      <c r="AB18" s="43"/>
      <c r="AC18" s="43"/>
      <c r="AD18" s="43"/>
      <c r="AE18" s="43"/>
      <c r="AF18" s="43"/>
      <c r="AG18" s="43"/>
      <c r="AH18" s="43"/>
      <c r="AI18" s="43"/>
      <c r="AJ18" s="43"/>
      <c r="AK18" s="43"/>
    </row>
    <row r="19" spans="3:37">
      <c r="T19" s="176"/>
      <c r="U19" s="176"/>
      <c r="V19" s="176"/>
      <c r="W19" s="176"/>
      <c r="X19" s="176"/>
      <c r="Y19" s="43"/>
      <c r="Z19" s="43"/>
      <c r="AA19" s="43"/>
      <c r="AB19" s="43"/>
      <c r="AC19" s="43"/>
      <c r="AD19" s="43"/>
      <c r="AE19" s="43"/>
      <c r="AF19" s="43"/>
      <c r="AG19" s="43"/>
      <c r="AH19" s="43"/>
      <c r="AI19" s="43"/>
      <c r="AJ19" s="43"/>
      <c r="AK19" s="43"/>
    </row>
    <row r="20" spans="3:37">
      <c r="C20" s="183"/>
      <c r="E20" s="182"/>
      <c r="F20" s="182"/>
      <c r="G20" s="182"/>
      <c r="T20" s="176"/>
      <c r="U20" s="176"/>
      <c r="V20" s="176"/>
      <c r="W20" s="176"/>
      <c r="X20" s="176"/>
      <c r="Y20" s="43"/>
      <c r="Z20" s="43"/>
      <c r="AA20" s="43"/>
      <c r="AB20" s="43"/>
      <c r="AC20" s="43"/>
      <c r="AD20" s="43"/>
      <c r="AE20" s="43"/>
      <c r="AF20" s="43"/>
      <c r="AG20" s="43"/>
      <c r="AH20" s="43"/>
      <c r="AI20" s="43"/>
      <c r="AJ20" s="43"/>
      <c r="AK20" s="43"/>
    </row>
    <row r="21" spans="3:37">
      <c r="E21" s="182"/>
      <c r="F21" s="182"/>
      <c r="G21" s="182"/>
      <c r="T21" s="176"/>
      <c r="U21" s="176"/>
      <c r="V21" s="176"/>
      <c r="W21" s="176"/>
      <c r="X21" s="176"/>
      <c r="Y21" s="43"/>
      <c r="Z21" s="43"/>
      <c r="AA21" s="43"/>
      <c r="AB21" s="43"/>
      <c r="AC21" s="43"/>
      <c r="AD21" s="43"/>
      <c r="AE21" s="43"/>
      <c r="AF21" s="43"/>
      <c r="AG21" s="43"/>
      <c r="AH21" s="43"/>
      <c r="AI21" s="43"/>
      <c r="AJ21" s="43"/>
      <c r="AK21" s="43"/>
    </row>
    <row r="22" spans="3:37">
      <c r="E22" s="182"/>
      <c r="F22" s="182"/>
      <c r="G22" s="182"/>
      <c r="T22" s="176"/>
      <c r="U22" s="176"/>
      <c r="V22" s="176"/>
      <c r="W22" s="176"/>
      <c r="X22" s="176"/>
      <c r="Y22" s="43"/>
      <c r="Z22" s="43"/>
      <c r="AA22" s="43"/>
      <c r="AB22" s="43"/>
      <c r="AC22" s="43"/>
      <c r="AD22" s="43"/>
      <c r="AE22" s="43"/>
      <c r="AF22" s="43"/>
      <c r="AG22" s="43"/>
      <c r="AH22" s="43"/>
      <c r="AI22" s="43"/>
      <c r="AJ22" s="43"/>
      <c r="AK22" s="43"/>
    </row>
    <row r="23" spans="3:37">
      <c r="E23" s="182"/>
      <c r="F23" s="182"/>
      <c r="G23" s="182"/>
      <c r="T23" s="176"/>
      <c r="U23" s="176"/>
      <c r="V23" s="176"/>
      <c r="W23" s="176"/>
      <c r="X23" s="176"/>
      <c r="Y23" s="43"/>
      <c r="Z23" s="43"/>
      <c r="AA23" s="43"/>
      <c r="AB23" s="43"/>
      <c r="AC23" s="43"/>
      <c r="AD23" s="43"/>
      <c r="AE23" s="43"/>
      <c r="AF23" s="43"/>
      <c r="AG23" s="43"/>
      <c r="AH23" s="43"/>
      <c r="AI23" s="43"/>
      <c r="AJ23" s="43"/>
      <c r="AK23" s="43"/>
    </row>
    <row r="24" spans="3:37">
      <c r="D24" s="176"/>
      <c r="E24" s="184"/>
    </row>
  </sheetData>
  <conditionalFormatting sqref="Z10:XFD10 A10:X10">
    <cfRule type="cellIs" dxfId="147" priority="2" operator="lessThan">
      <formula>0</formula>
    </cfRule>
  </conditionalFormatting>
  <conditionalFormatting sqref="B12:X12">
    <cfRule type="cellIs" dxfId="146" priority="1" operator="lessThan">
      <formula>0.35</formula>
    </cfRule>
  </conditionalFormatting>
  <printOptions horizontalCentere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6E0F5-2AC2-493F-8F62-2D63F320C626}">
  <dimension ref="A1:J24"/>
  <sheetViews>
    <sheetView workbookViewId="0">
      <selection activeCell="D25" sqref="D25"/>
    </sheetView>
  </sheetViews>
  <sheetFormatPr defaultRowHeight="15"/>
  <cols>
    <col min="1" max="1" width="9.140625" customWidth="1"/>
    <col min="2" max="2" width="10.5703125" customWidth="1"/>
    <col min="4" max="4" width="22" customWidth="1"/>
    <col min="5" max="5" width="12.5703125" customWidth="1"/>
    <col min="7" max="7" width="31.7109375" customWidth="1"/>
    <col min="8" max="8" width="19.5703125" customWidth="1"/>
    <col min="10" max="10" width="13.85546875" customWidth="1"/>
  </cols>
  <sheetData>
    <row r="1" spans="1:10" s="89" customFormat="1" ht="27.75">
      <c r="A1" s="48" t="s">
        <v>15</v>
      </c>
      <c r="B1" s="90" t="s">
        <v>16</v>
      </c>
      <c r="C1" s="89" t="s">
        <v>17</v>
      </c>
      <c r="D1" s="91" t="s">
        <v>18</v>
      </c>
    </row>
    <row r="2" spans="1:10" s="89" customFormat="1">
      <c r="A2" s="181" t="str">
        <f>'PAN3'!A1</f>
        <v>PAN3</v>
      </c>
      <c r="B2" s="1">
        <f>'PAN3'!H3+'PAN3'!H4</f>
        <v>66464.17</v>
      </c>
      <c r="C2" s="239">
        <f>'PAN3'!H6/('PAN3'!H3+'PAN3'!H4)</f>
        <v>0.20165923677193284</v>
      </c>
      <c r="D2" s="93" t="s">
        <v>7</v>
      </c>
      <c r="E2" s="1">
        <f t="shared" ref="E2:E3" si="0">B2*C2</f>
        <v>13403.113794879995</v>
      </c>
    </row>
    <row r="3" spans="1:10" s="89" customFormat="1">
      <c r="A3" s="85" t="str">
        <f>DRE!A1</f>
        <v>DRE</v>
      </c>
      <c r="B3" s="107">
        <f>DRE!H3+DRE!H4</f>
        <v>124500</v>
      </c>
      <c r="C3" s="104">
        <f>DRE!H6/(DRE!H3+DRE!H4)</f>
        <v>0.20370135030329303</v>
      </c>
      <c r="D3" s="92" t="s">
        <v>4</v>
      </c>
      <c r="E3" s="1">
        <f>B3*C3</f>
        <v>25360.818112759982</v>
      </c>
    </row>
    <row r="4" spans="1:10">
      <c r="A4" s="85" t="str">
        <f>LUSH!A1</f>
        <v>LUSH</v>
      </c>
      <c r="B4" s="107">
        <f>LUSH!H3+LUSH!H4</f>
        <v>114002.08</v>
      </c>
      <c r="C4" s="104">
        <f>LUSH!H6/(LUSH!H3+LUSH!H4)</f>
        <v>0.37927218219460329</v>
      </c>
      <c r="D4" s="92" t="s">
        <v>19</v>
      </c>
      <c r="E4" s="1">
        <f>B4*C4</f>
        <v>43237.817656323743</v>
      </c>
    </row>
    <row r="5" spans="1:10">
      <c r="A5" s="85" t="str">
        <f>HOKA!A1</f>
        <v>HOK</v>
      </c>
      <c r="B5" s="107">
        <f>HOKA!H3+HOKA!H4</f>
        <v>518693.67000000004</v>
      </c>
      <c r="C5" s="104">
        <f>HOKA!H6/(HOKA!H3+HOKA!H4)</f>
        <v>0.3564987492069539</v>
      </c>
      <c r="D5" s="92" t="s">
        <v>20</v>
      </c>
      <c r="E5" s="1">
        <f t="shared" ref="E5:E22" si="1">B5*C5</f>
        <v>184913.64457656452</v>
      </c>
    </row>
    <row r="6" spans="1:10">
      <c r="A6" s="85" t="str">
        <f>'FAL2'!A1</f>
        <v>FAL2</v>
      </c>
      <c r="B6" s="107">
        <f>'FAL2'!H3+'FAL2'!H4</f>
        <v>142161.76999999999</v>
      </c>
      <c r="C6" s="104">
        <f>'FAL2'!H6/('FAL2'!H3+'FAL2'!H4)</f>
        <v>0.17046644450604406</v>
      </c>
      <c r="D6" s="92" t="s">
        <v>4</v>
      </c>
      <c r="E6" s="1">
        <f t="shared" si="1"/>
        <v>24233.811476585997</v>
      </c>
    </row>
    <row r="7" spans="1:10">
      <c r="A7" s="85" t="str">
        <f>'STU2'!A1</f>
        <v>STU2</v>
      </c>
      <c r="B7" s="107">
        <f>'STU2'!H3+'STU2'!H4</f>
        <v>44108.473797299164</v>
      </c>
      <c r="C7" s="104">
        <f>'STU2'!H6/('STU2'!H3+'STU2'!H4)</f>
        <v>0.50013430799441061</v>
      </c>
      <c r="D7" s="92" t="s">
        <v>4</v>
      </c>
      <c r="E7" s="1">
        <f t="shared" si="1"/>
        <v>22060.16101930181</v>
      </c>
      <c r="G7" s="89"/>
    </row>
    <row r="8" spans="1:10">
      <c r="A8" s="185" t="str">
        <f>STU!A1</f>
        <v>STU</v>
      </c>
      <c r="B8" s="107">
        <f>STU!H3+STU!H4</f>
        <v>29275</v>
      </c>
      <c r="C8" s="105">
        <f>STU!H6/(STU!H3+STU!H4)</f>
        <v>0.48740875405129813</v>
      </c>
      <c r="D8" s="106" t="s">
        <v>5</v>
      </c>
      <c r="E8" s="1">
        <f t="shared" si="1"/>
        <v>14268.891274851752</v>
      </c>
      <c r="G8" s="89"/>
    </row>
    <row r="9" spans="1:10">
      <c r="A9" s="85" t="str">
        <f>FAL_STU3!A1</f>
        <v>FAL</v>
      </c>
      <c r="B9" s="107">
        <f>FAL_STU3!H3+FAL_STU3!H4</f>
        <v>44283.28</v>
      </c>
      <c r="C9" s="104">
        <f>FAL_STU3!H6/(FAL_STU3!H3+FAL_STU3!H4)</f>
        <v>0.43655057563627658</v>
      </c>
      <c r="D9" s="92" t="s">
        <v>4</v>
      </c>
      <c r="E9" s="1">
        <f t="shared" si="1"/>
        <v>19331.891375062412</v>
      </c>
      <c r="G9" s="89"/>
      <c r="J9" s="158"/>
    </row>
    <row r="10" spans="1:10">
      <c r="A10" s="185" t="str">
        <f>FRO!A1</f>
        <v>FRO</v>
      </c>
      <c r="B10" s="107">
        <f>FRO!K4</f>
        <v>29363.621904112704</v>
      </c>
      <c r="C10" s="105">
        <f>FRO!L18</f>
        <v>0.42997071026888045</v>
      </c>
      <c r="D10" s="106" t="s">
        <v>5</v>
      </c>
      <c r="E10" s="1">
        <f t="shared" si="1"/>
        <v>12625.497366178195</v>
      </c>
      <c r="G10" s="89"/>
    </row>
    <row r="11" spans="1:10">
      <c r="A11" s="85" t="str">
        <f>TES!A1</f>
        <v>TES</v>
      </c>
      <c r="B11" s="107">
        <f>TES!H3+TES!H4</f>
        <v>23000</v>
      </c>
      <c r="C11" s="104">
        <f>TES!H6/(TES!H3+TES!H4)</f>
        <v>0.41020931074186084</v>
      </c>
      <c r="D11" s="92" t="s">
        <v>4</v>
      </c>
      <c r="E11" s="1">
        <f t="shared" si="1"/>
        <v>9434.8141470627997</v>
      </c>
    </row>
    <row r="12" spans="1:10">
      <c r="A12" s="181" t="str">
        <f>UGG!A1</f>
        <v>UGG</v>
      </c>
      <c r="B12" s="1">
        <f>UGG!H3+UGG!H4</f>
        <v>227968.89</v>
      </c>
      <c r="C12" s="239">
        <f>UGG!H6/(UGG!H3+UGG!H4)</f>
        <v>0.28454773726567878</v>
      </c>
      <c r="D12" t="s">
        <v>6</v>
      </c>
      <c r="E12" s="1">
        <f t="shared" si="1"/>
        <v>64868.031816468429</v>
      </c>
      <c r="J12" s="158"/>
    </row>
    <row r="13" spans="1:10">
      <c r="A13" s="85" t="str">
        <f>LIN!A1</f>
        <v>LIN</v>
      </c>
      <c r="B13" s="107">
        <f>LIN!H3+LIN!H4</f>
        <v>109116.87</v>
      </c>
      <c r="C13" s="104">
        <f>LIN!H6/(LIN!H3+LIN!H4)</f>
        <v>0.2791325401602448</v>
      </c>
      <c r="D13" s="92" t="s">
        <v>4</v>
      </c>
      <c r="E13" s="1">
        <f t="shared" si="1"/>
        <v>30458.069097435211</v>
      </c>
      <c r="G13" s="89"/>
    </row>
    <row r="14" spans="1:10">
      <c r="A14" s="185" t="str">
        <f>INS!A1</f>
        <v>INS</v>
      </c>
      <c r="B14" s="107">
        <f>INS!G4</f>
        <v>60000</v>
      </c>
      <c r="C14" s="104">
        <f>INS!H19</f>
        <v>0.29611890390034679</v>
      </c>
      <c r="D14" s="92" t="s">
        <v>5</v>
      </c>
      <c r="E14" s="1">
        <f t="shared" si="1"/>
        <v>17767.134234020807</v>
      </c>
      <c r="G14" s="89"/>
      <c r="J14" s="158"/>
    </row>
    <row r="15" spans="1:10">
      <c r="A15" s="85" t="str">
        <f>KAR!A1</f>
        <v>KAR</v>
      </c>
      <c r="B15" s="107">
        <f>KAR!H3+KAR!H4</f>
        <v>132635</v>
      </c>
      <c r="C15" s="104">
        <f>KAR!H6/(KAR!H3+KAR!H4)</f>
        <v>0.1804470216054907</v>
      </c>
      <c r="D15" s="92" t="s">
        <v>5</v>
      </c>
      <c r="E15" s="1">
        <f t="shared" si="1"/>
        <v>23933.590710644257</v>
      </c>
    </row>
    <row r="16" spans="1:10">
      <c r="A16" s="185" t="str">
        <f>'PAN2'!A1</f>
        <v>PAN2</v>
      </c>
      <c r="B16" s="107">
        <f>'PAN2'!H3+'PAN2'!H4</f>
        <v>85024.62000000001</v>
      </c>
      <c r="C16" s="104">
        <f>'PAN2'!H7</f>
        <v>0.25665309701970579</v>
      </c>
      <c r="D16" s="92" t="s">
        <v>7</v>
      </c>
      <c r="E16" s="1">
        <f t="shared" si="1"/>
        <v>21821.83204592362</v>
      </c>
      <c r="G16" s="89"/>
    </row>
    <row r="17" spans="1:10">
      <c r="A17" s="185" t="str">
        <f>LULU!A1</f>
        <v>LULU</v>
      </c>
      <c r="B17" s="107">
        <f>LULU!G4</f>
        <v>38063.1</v>
      </c>
      <c r="C17" s="104">
        <f>LULU!G18/B17</f>
        <v>0.26142266968745786</v>
      </c>
      <c r="D17" s="92" t="s">
        <v>5</v>
      </c>
      <c r="E17" s="1">
        <f t="shared" si="1"/>
        <v>9950.5572185806777</v>
      </c>
    </row>
    <row r="18" spans="1:10">
      <c r="A18" s="185" t="str">
        <f>COL!A1</f>
        <v>COL</v>
      </c>
      <c r="B18" s="107">
        <f>COL!I4</f>
        <v>46000</v>
      </c>
      <c r="C18" s="104">
        <f>COL!J20</f>
        <v>0.25009078934434759</v>
      </c>
      <c r="D18" s="92" t="s">
        <v>4</v>
      </c>
      <c r="E18" s="1">
        <f t="shared" si="1"/>
        <v>11504.17630983999</v>
      </c>
    </row>
    <row r="19" spans="1:10">
      <c r="A19" s="85" t="str">
        <f>TRIE!A1</f>
        <v>TRI</v>
      </c>
      <c r="B19" s="107">
        <f>TRIE!H3+TRIE!H4</f>
        <v>51458.66</v>
      </c>
      <c r="C19" s="104">
        <f>TRIE!H6/(TRIE!H3+TRIE!H4)</f>
        <v>0.22795423219967265</v>
      </c>
      <c r="D19" s="92" t="s">
        <v>5</v>
      </c>
      <c r="E19" s="1">
        <f t="shared" si="1"/>
        <v>11730.219330324007</v>
      </c>
    </row>
    <row r="20" spans="1:10">
      <c r="A20" s="185" t="str">
        <f>AKR!A1</f>
        <v>AKR</v>
      </c>
      <c r="B20" s="107">
        <f>AKR!G4</f>
        <v>15496</v>
      </c>
      <c r="C20" s="104">
        <f>AKR!H19</f>
        <v>0.22605152598791961</v>
      </c>
      <c r="D20" s="92" t="s">
        <v>5</v>
      </c>
      <c r="E20" s="1">
        <f t="shared" si="1"/>
        <v>3502.8944467088022</v>
      </c>
      <c r="G20" s="89"/>
    </row>
    <row r="21" spans="1:10">
      <c r="A21" s="185" t="str">
        <f>PAN!A1</f>
        <v>PAN</v>
      </c>
      <c r="B21" s="107">
        <f>PAN!I4</f>
        <v>67309.81</v>
      </c>
      <c r="C21" s="104">
        <f>PAN!J18</f>
        <v>0.12963937873897427</v>
      </c>
      <c r="D21" s="92" t="s">
        <v>4</v>
      </c>
      <c r="E21" s="1">
        <f t="shared" si="1"/>
        <v>8726.0019514383966</v>
      </c>
    </row>
    <row r="22" spans="1:10">
      <c r="A22" s="185" t="str">
        <f>SWA!A1</f>
        <v>SWA</v>
      </c>
      <c r="B22" s="107">
        <f>SWA!H2+SWA!H3</f>
        <v>155574.43</v>
      </c>
      <c r="C22" s="104">
        <f>SWA!H5/(SWA!H2+SWA!H3)</f>
        <v>7.3712101669447722E-2</v>
      </c>
      <c r="D22" s="92" t="s">
        <v>5</v>
      </c>
      <c r="E22" s="1">
        <f t="shared" si="1"/>
        <v>11467.718201326377</v>
      </c>
    </row>
    <row r="23" spans="1:10">
      <c r="A23" s="181" t="str">
        <f>MIL!A1</f>
        <v>MIL</v>
      </c>
      <c r="B23" s="1">
        <f>MIL!H3+MIL!H4</f>
        <v>683017.73</v>
      </c>
      <c r="C23" s="239">
        <f>MIL!H7</f>
        <v>0.30350921417392784</v>
      </c>
      <c r="D23" t="s">
        <v>5</v>
      </c>
      <c r="E23" s="1">
        <f>MIL!H6</f>
        <v>207302.17449916</v>
      </c>
    </row>
    <row r="24" spans="1:10">
      <c r="H24" s="1"/>
      <c r="J24" s="1"/>
    </row>
  </sheetData>
  <autoFilter ref="A1:D20" xr:uid="{3D06E0F5-2AC2-493F-8F62-2D63F320C626}">
    <sortState xmlns:xlrd2="http://schemas.microsoft.com/office/spreadsheetml/2017/richdata2" ref="A2:D22">
      <sortCondition descending="1" ref="C1:C20"/>
    </sortState>
  </autoFilter>
  <sortState xmlns:xlrd2="http://schemas.microsoft.com/office/spreadsheetml/2017/richdata2" ref="A2:D20">
    <sortCondition ref="C2:C20"/>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A09EF2-9E5A-406C-8FA2-07F77A979A52}">
  <sheetPr>
    <pageSetUpPr fitToPage="1"/>
  </sheetPr>
  <dimension ref="A1:L35"/>
  <sheetViews>
    <sheetView tabSelected="1" workbookViewId="0">
      <selection activeCell="B33" sqref="B33"/>
    </sheetView>
  </sheetViews>
  <sheetFormatPr defaultRowHeight="15" outlineLevelRow="1"/>
  <cols>
    <col min="1" max="1" width="10" bestFit="1" customWidth="1"/>
    <col min="2" max="2" width="30.140625" bestFit="1" customWidth="1"/>
    <col min="3" max="3" width="14.85546875" customWidth="1"/>
    <col min="4" max="4" width="10.7109375" customWidth="1"/>
    <col min="5" max="5" width="13.140625" customWidth="1"/>
    <col min="6" max="6" width="7.140625" customWidth="1"/>
    <col min="7" max="7" width="35.7109375" customWidth="1"/>
    <col min="8" max="8" width="23.42578125" customWidth="1"/>
    <col min="9" max="9" width="15" customWidth="1"/>
    <col min="10" max="10" width="12.7109375" customWidth="1"/>
    <col min="11" max="11" width="30.42578125" customWidth="1"/>
  </cols>
  <sheetData>
    <row r="1" spans="1:12" s="387" customFormat="1" ht="18.75">
      <c r="A1" s="377" t="s">
        <v>21</v>
      </c>
      <c r="B1" s="514" t="s">
        <v>22</v>
      </c>
      <c r="C1" s="514"/>
      <c r="D1" s="514"/>
      <c r="E1" s="514"/>
      <c r="G1" s="515" t="s">
        <v>23</v>
      </c>
      <c r="H1" s="515"/>
      <c r="J1" s="516" t="s">
        <v>24</v>
      </c>
      <c r="K1" s="516"/>
      <c r="L1" s="516"/>
    </row>
    <row r="2" spans="1:12">
      <c r="G2" s="352"/>
      <c r="H2" s="353"/>
      <c r="I2" s="485">
        <f>ROUND(H3*0.3,2)</f>
        <v>197656.02</v>
      </c>
      <c r="J2" s="486">
        <v>0.3</v>
      </c>
      <c r="K2" s="474" t="s">
        <v>25</v>
      </c>
      <c r="L2" s="472" t="s">
        <v>26</v>
      </c>
    </row>
    <row r="3" spans="1:12" outlineLevel="1">
      <c r="B3" s="94" t="s">
        <v>27</v>
      </c>
      <c r="C3">
        <v>181.52</v>
      </c>
      <c r="D3" s="1">
        <f>C22/C3</f>
        <v>2499.3048148964299</v>
      </c>
      <c r="G3" s="354" t="s">
        <v>28</v>
      </c>
      <c r="H3" s="355">
        <v>658853.39</v>
      </c>
      <c r="I3" s="487">
        <f>I2</f>
        <v>197656.02</v>
      </c>
      <c r="J3" s="486">
        <v>0.3</v>
      </c>
      <c r="K3" s="474" t="s">
        <v>29</v>
      </c>
      <c r="L3" s="472" t="s">
        <v>30</v>
      </c>
    </row>
    <row r="4" spans="1:12" ht="17.25" customHeight="1" outlineLevel="1">
      <c r="B4" s="94" t="s">
        <v>31</v>
      </c>
      <c r="C4">
        <v>115.98</v>
      </c>
      <c r="G4" s="354" t="s">
        <v>32</v>
      </c>
      <c r="H4" s="355">
        <f>C21</f>
        <v>24164.34</v>
      </c>
      <c r="I4" s="475">
        <f>I2</f>
        <v>197656.02</v>
      </c>
      <c r="J4" s="478">
        <v>0.3</v>
      </c>
      <c r="K4" s="479" t="s">
        <v>33</v>
      </c>
      <c r="L4" s="480" t="s">
        <v>30</v>
      </c>
    </row>
    <row r="5" spans="1:12">
      <c r="B5" s="322" t="s">
        <v>34</v>
      </c>
      <c r="C5" s="43">
        <f>SUM(C3:C4)</f>
        <v>297.5</v>
      </c>
      <c r="D5" s="317">
        <f>C22/C5</f>
        <v>1524.9539831932773</v>
      </c>
      <c r="G5" s="354" t="s">
        <v>35</v>
      </c>
      <c r="H5" s="355">
        <f>(H3+H4)*0.07</f>
        <v>47811.241100000007</v>
      </c>
      <c r="I5" s="473">
        <f>ROUND(H3*0.1,2)-0.01</f>
        <v>65885.33</v>
      </c>
      <c r="J5" s="98">
        <v>0.1</v>
      </c>
      <c r="K5" s="477" t="s">
        <v>36</v>
      </c>
      <c r="L5" s="96" t="s">
        <v>30</v>
      </c>
    </row>
    <row r="6" spans="1:12" ht="16.5" customHeight="1">
      <c r="A6" s="96"/>
      <c r="B6" s="345" t="s">
        <v>37</v>
      </c>
      <c r="C6" s="371" t="s">
        <v>38</v>
      </c>
      <c r="D6" s="362" t="s">
        <v>39</v>
      </c>
      <c r="E6" s="345" t="s">
        <v>40</v>
      </c>
      <c r="G6" s="354" t="s">
        <v>41</v>
      </c>
      <c r="H6" s="355">
        <f>H3+H4-D22-H5</f>
        <v>207302.17449916</v>
      </c>
      <c r="I6" s="476">
        <f>SUM(I2:I5)</f>
        <v>658853.3899999999</v>
      </c>
    </row>
    <row r="7" spans="1:12">
      <c r="A7" s="346">
        <v>1</v>
      </c>
      <c r="B7" s="97" t="s">
        <v>42</v>
      </c>
      <c r="C7" s="454">
        <v>7000</v>
      </c>
      <c r="D7" s="409">
        <f>((184.78*16.5)-1440)*1.48*1.2359+1440+900*1.48*1.2359</f>
        <v>6029.0544008399993</v>
      </c>
      <c r="E7" s="404">
        <f>C7-D7</f>
        <v>970.94559916000071</v>
      </c>
      <c r="H7" s="239">
        <f>H6/(H3+H4)</f>
        <v>0.30350921417392784</v>
      </c>
    </row>
    <row r="8" spans="1:12">
      <c r="A8" s="345">
        <f>A7+1</f>
        <v>2</v>
      </c>
      <c r="B8" s="96" t="s">
        <v>43</v>
      </c>
      <c r="C8" s="371"/>
      <c r="D8" s="363">
        <f>B30+34.76+57.39+1446.7</f>
        <v>6038.85</v>
      </c>
      <c r="E8" s="404">
        <f t="shared" ref="E8:E25" si="0">C8-D8</f>
        <v>-6038.85</v>
      </c>
      <c r="J8" t="s">
        <v>44</v>
      </c>
    </row>
    <row r="9" spans="1:12">
      <c r="A9" s="345">
        <f t="shared" ref="A9:A21" si="1">A8+1</f>
        <v>3</v>
      </c>
      <c r="B9" s="96" t="s">
        <v>45</v>
      </c>
      <c r="C9" s="378">
        <v>6000</v>
      </c>
      <c r="D9" s="363">
        <v>1833.2</v>
      </c>
      <c r="E9" s="404">
        <f t="shared" si="0"/>
        <v>4166.8</v>
      </c>
      <c r="G9" s="369" t="s">
        <v>46</v>
      </c>
      <c r="H9" s="370" t="e">
        <f>C7/C27</f>
        <v>#DIV/0!</v>
      </c>
      <c r="J9" s="49"/>
    </row>
    <row r="10" spans="1:12">
      <c r="A10" s="345">
        <f t="shared" si="1"/>
        <v>4</v>
      </c>
      <c r="B10" s="96" t="s">
        <v>47</v>
      </c>
      <c r="C10" s="378"/>
      <c r="D10" s="363"/>
      <c r="E10" s="404">
        <f t="shared" si="0"/>
        <v>0</v>
      </c>
      <c r="G10" s="371" t="s">
        <v>48</v>
      </c>
      <c r="H10" s="372">
        <f>C27/C5</f>
        <v>0</v>
      </c>
    </row>
    <row r="11" spans="1:12">
      <c r="A11" s="345">
        <f t="shared" si="1"/>
        <v>5</v>
      </c>
      <c r="B11" s="96" t="s">
        <v>49</v>
      </c>
      <c r="C11" s="378">
        <v>1000</v>
      </c>
      <c r="D11" s="363">
        <f>91.24+102.39</f>
        <v>193.63</v>
      </c>
      <c r="E11" s="404">
        <f t="shared" si="0"/>
        <v>806.37</v>
      </c>
      <c r="G11" s="371" t="s">
        <v>50</v>
      </c>
      <c r="H11" s="378" t="e">
        <f>H9*H10</f>
        <v>#DIV/0!</v>
      </c>
    </row>
    <row r="12" spans="1:12">
      <c r="A12" s="345">
        <f t="shared" si="1"/>
        <v>6</v>
      </c>
      <c r="B12" s="96" t="s">
        <v>51</v>
      </c>
      <c r="C12" s="482">
        <v>3042</v>
      </c>
      <c r="D12" s="402">
        <f>1340+1529+100</f>
        <v>2969</v>
      </c>
      <c r="E12" s="404">
        <f t="shared" si="0"/>
        <v>73</v>
      </c>
    </row>
    <row r="13" spans="1:12">
      <c r="A13" s="345"/>
      <c r="B13" s="349" t="s">
        <v>52</v>
      </c>
      <c r="C13" s="482">
        <v>43510</v>
      </c>
      <c r="D13" s="481">
        <f>C13</f>
        <v>43510</v>
      </c>
      <c r="E13" s="404">
        <f>C13-D13</f>
        <v>0</v>
      </c>
    </row>
    <row r="14" spans="1:12">
      <c r="A14" s="345"/>
      <c r="B14" s="349" t="s">
        <v>53</v>
      </c>
      <c r="C14" s="482">
        <v>149715.51999999999</v>
      </c>
      <c r="D14" s="481">
        <f>C14</f>
        <v>149715.51999999999</v>
      </c>
      <c r="E14" s="404">
        <f>C14-D14</f>
        <v>0</v>
      </c>
    </row>
    <row r="15" spans="1:12">
      <c r="A15" s="345">
        <f>A12+1</f>
        <v>7</v>
      </c>
      <c r="B15" s="349" t="s">
        <v>54</v>
      </c>
      <c r="C15" s="488">
        <v>46940</v>
      </c>
      <c r="D15" s="481">
        <f>C15</f>
        <v>46940</v>
      </c>
      <c r="E15" s="404">
        <f t="shared" si="0"/>
        <v>0</v>
      </c>
      <c r="G15" s="366" t="s">
        <v>55</v>
      </c>
      <c r="H15" s="367">
        <f>D7/D27</f>
        <v>32.628284450914599</v>
      </c>
    </row>
    <row r="16" spans="1:12">
      <c r="A16" s="345">
        <f t="shared" si="1"/>
        <v>8</v>
      </c>
      <c r="B16" s="349" t="s">
        <v>56</v>
      </c>
      <c r="C16" s="488">
        <v>27373.95</v>
      </c>
      <c r="D16" s="481">
        <f>C16</f>
        <v>27373.95</v>
      </c>
      <c r="E16" s="404">
        <f t="shared" si="0"/>
        <v>0</v>
      </c>
      <c r="G16" s="366" t="s">
        <v>57</v>
      </c>
      <c r="H16" s="368">
        <f>D27/C5</f>
        <v>0.621109243697479</v>
      </c>
    </row>
    <row r="17" spans="1:9">
      <c r="A17" s="345">
        <f t="shared" si="1"/>
        <v>9</v>
      </c>
      <c r="B17" s="96" t="s">
        <v>58</v>
      </c>
      <c r="C17" s="489">
        <v>1809</v>
      </c>
      <c r="D17" s="402">
        <f>C17</f>
        <v>1809</v>
      </c>
      <c r="E17" s="404">
        <f t="shared" si="0"/>
        <v>0</v>
      </c>
      <c r="G17" s="366" t="s">
        <v>59</v>
      </c>
      <c r="H17" s="374">
        <f>H16*H15</f>
        <v>20.265729078453781</v>
      </c>
    </row>
    <row r="18" spans="1:9">
      <c r="A18" s="345">
        <f t="shared" si="1"/>
        <v>10</v>
      </c>
      <c r="B18" s="96" t="s">
        <v>60</v>
      </c>
      <c r="C18" s="378">
        <v>136119</v>
      </c>
      <c r="D18" s="402">
        <f>C18</f>
        <v>136119</v>
      </c>
      <c r="E18" s="404">
        <f t="shared" si="0"/>
        <v>0</v>
      </c>
    </row>
    <row r="19" spans="1:9">
      <c r="A19" s="345">
        <f t="shared" si="1"/>
        <v>11</v>
      </c>
      <c r="B19" s="96" t="s">
        <v>61</v>
      </c>
      <c r="C19" s="371"/>
      <c r="D19" s="363">
        <f>1468.55+125</f>
        <v>1593.55</v>
      </c>
      <c r="E19" s="404">
        <f t="shared" si="0"/>
        <v>-1593.55</v>
      </c>
      <c r="G19" s="375" t="s">
        <v>62</v>
      </c>
      <c r="H19" s="374">
        <f>(D7+D9+D11)/D27</f>
        <v>43.597166364541614</v>
      </c>
    </row>
    <row r="20" spans="1:9">
      <c r="A20" s="345">
        <f t="shared" si="1"/>
        <v>12</v>
      </c>
      <c r="B20" s="96" t="s">
        <v>63</v>
      </c>
      <c r="C20" s="378">
        <v>7000</v>
      </c>
      <c r="D20" s="363">
        <v>3779.56</v>
      </c>
      <c r="E20" s="404">
        <f t="shared" si="0"/>
        <v>3220.44</v>
      </c>
      <c r="G20" s="366" t="s">
        <v>64</v>
      </c>
      <c r="H20" s="374">
        <f>1833.2/30</f>
        <v>61.106666666666669</v>
      </c>
    </row>
    <row r="21" spans="1:9">
      <c r="A21" s="345">
        <f t="shared" si="1"/>
        <v>13</v>
      </c>
      <c r="B21" s="96" t="s">
        <v>65</v>
      </c>
      <c r="C21" s="371">
        <v>24164.34</v>
      </c>
      <c r="D21" s="363"/>
      <c r="E21" s="404">
        <f t="shared" si="0"/>
        <v>24164.34</v>
      </c>
    </row>
    <row r="22" spans="1:9" ht="18.75">
      <c r="A22" s="96"/>
      <c r="B22" s="96" t="s">
        <v>66</v>
      </c>
      <c r="C22" s="378">
        <f>SUM(C7:C21)</f>
        <v>453673.81</v>
      </c>
      <c r="D22" s="402">
        <f>SUM(D7:D21)</f>
        <v>427904.31440083997</v>
      </c>
      <c r="E22" s="453">
        <f t="shared" si="0"/>
        <v>25769.495599160029</v>
      </c>
      <c r="F22" s="93"/>
      <c r="H22" s="1">
        <f>D22+H5</f>
        <v>475715.55550083995</v>
      </c>
    </row>
    <row r="23" spans="1:9" ht="15" customHeight="1">
      <c r="C23" s="452">
        <f>(H3+H4-C22)/(H3+H4)</f>
        <v>0.33578033179314393</v>
      </c>
      <c r="D23" s="43"/>
      <c r="G23" s="43"/>
      <c r="H23" s="43"/>
      <c r="I23" s="357"/>
    </row>
    <row r="24" spans="1:9">
      <c r="B24" s="96" t="s">
        <v>67</v>
      </c>
      <c r="C24" s="373"/>
      <c r="D24" s="364">
        <f>40.5+144.28</f>
        <v>184.78</v>
      </c>
      <c r="E24" s="96">
        <f t="shared" si="0"/>
        <v>-184.78</v>
      </c>
      <c r="I24" s="357"/>
    </row>
    <row r="25" spans="1:9" ht="15" customHeight="1">
      <c r="B25" s="96" t="s">
        <v>68</v>
      </c>
      <c r="C25" s="373"/>
      <c r="D25" s="364"/>
      <c r="E25" s="96">
        <f t="shared" si="0"/>
        <v>0</v>
      </c>
      <c r="I25" s="358"/>
    </row>
    <row r="26" spans="1:9">
      <c r="B26" s="96" t="s">
        <v>69</v>
      </c>
      <c r="C26" s="373"/>
      <c r="D26" s="364"/>
      <c r="E26" s="96"/>
      <c r="G26" s="359"/>
      <c r="H26" s="359"/>
      <c r="I26" s="359"/>
    </row>
    <row r="27" spans="1:9" ht="18.75">
      <c r="B27" s="96" t="s">
        <v>66</v>
      </c>
      <c r="C27" s="373">
        <f>SUM(C24:C26)</f>
        <v>0</v>
      </c>
      <c r="D27" s="364">
        <f t="shared" ref="D27:E27" si="2">SUM(D24:D26)</f>
        <v>184.78</v>
      </c>
      <c r="E27" s="347">
        <f t="shared" si="2"/>
        <v>-184.78</v>
      </c>
      <c r="G27" s="360"/>
      <c r="H27" s="360"/>
      <c r="I27" s="360"/>
    </row>
    <row r="28" spans="1:9">
      <c r="A28" s="140"/>
      <c r="B28" s="272"/>
      <c r="C28" s="240"/>
      <c r="G28" s="360"/>
      <c r="H28" s="361"/>
      <c r="I28" s="361"/>
    </row>
    <row r="29" spans="1:9">
      <c r="A29" s="141"/>
      <c r="G29" s="43"/>
      <c r="H29" s="43"/>
      <c r="I29" s="43"/>
    </row>
    <row r="30" spans="1:9">
      <c r="A30" t="s">
        <v>70</v>
      </c>
      <c r="B30" s="328">
        <f>B31+B32</f>
        <v>4500</v>
      </c>
      <c r="G30" s="43"/>
      <c r="H30" s="43"/>
      <c r="I30" s="43"/>
    </row>
    <row r="31" spans="1:9">
      <c r="A31" t="s">
        <v>71</v>
      </c>
    </row>
    <row r="32" spans="1:9">
      <c r="A32" t="s">
        <v>72</v>
      </c>
      <c r="B32">
        <v>4500</v>
      </c>
    </row>
    <row r="35" spans="1:2">
      <c r="A35" t="s">
        <v>73</v>
      </c>
      <c r="B35">
        <v>10000</v>
      </c>
    </row>
  </sheetData>
  <mergeCells count="3">
    <mergeCell ref="B1:E1"/>
    <mergeCell ref="G1:H1"/>
    <mergeCell ref="J1:L1"/>
  </mergeCells>
  <conditionalFormatting sqref="H15">
    <cfRule type="cellIs" dxfId="145" priority="5" operator="greaterThan">
      <formula>$H$9</formula>
    </cfRule>
  </conditionalFormatting>
  <conditionalFormatting sqref="H2">
    <cfRule type="cellIs" dxfId="144" priority="6" operator="greaterThan">
      <formula>#REF!</formula>
    </cfRule>
  </conditionalFormatting>
  <conditionalFormatting sqref="E7:E22">
    <cfRule type="cellIs" dxfId="143" priority="4" operator="lessThan">
      <formula>0</formula>
    </cfRule>
  </conditionalFormatting>
  <conditionalFormatting sqref="E24:E27">
    <cfRule type="cellIs" dxfId="142" priority="3" operator="lessThan">
      <formula>0</formula>
    </cfRule>
  </conditionalFormatting>
  <conditionalFormatting sqref="H16">
    <cfRule type="cellIs" dxfId="141" priority="7" operator="greaterThan">
      <formula>$H$10</formula>
    </cfRule>
  </conditionalFormatting>
  <conditionalFormatting sqref="H15">
    <cfRule type="cellIs" dxfId="140" priority="2" operator="greaterThan">
      <formula>$H$9</formula>
    </cfRule>
  </conditionalFormatting>
  <conditionalFormatting sqref="H17">
    <cfRule type="cellIs" dxfId="139" priority="1" operator="greaterThan">
      <formula>$H$11</formula>
    </cfRule>
  </conditionalFormatting>
  <pageMargins left="0.7" right="0.7" top="0.75" bottom="0.75" header="0.3" footer="0.3"/>
  <pageSetup paperSize="9" orientation="landscape"/>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C78939-46B4-45CF-A434-9505CA86CADD}">
  <sheetPr>
    <tabColor rgb="FF92D050"/>
    <pageSetUpPr fitToPage="1"/>
  </sheetPr>
  <dimension ref="A1:U30"/>
  <sheetViews>
    <sheetView topLeftCell="D1" workbookViewId="0">
      <selection activeCell="D26" sqref="D26"/>
    </sheetView>
  </sheetViews>
  <sheetFormatPr defaultRowHeight="15" outlineLevelRow="1"/>
  <cols>
    <col min="1" max="1" width="10" bestFit="1" customWidth="1"/>
    <col min="2" max="2" width="30.140625" bestFit="1" customWidth="1"/>
    <col min="3" max="3" width="14.85546875" customWidth="1"/>
    <col min="4" max="4" width="10.7109375" customWidth="1"/>
    <col min="5" max="5" width="13.140625" customWidth="1"/>
    <col min="6" max="6" width="7.140625" customWidth="1"/>
    <col min="7" max="7" width="35.7109375" customWidth="1"/>
    <col min="8" max="8" width="23.42578125" customWidth="1"/>
    <col min="9" max="9" width="15" customWidth="1"/>
    <col min="10" max="10" width="12.7109375" customWidth="1"/>
    <col min="11" max="11" width="40.140625" customWidth="1"/>
  </cols>
  <sheetData>
    <row r="1" spans="1:11" s="387" customFormat="1" ht="18.75">
      <c r="A1" s="377" t="s">
        <v>74</v>
      </c>
      <c r="B1" s="377" t="s">
        <v>75</v>
      </c>
      <c r="C1" s="490"/>
      <c r="D1" s="490"/>
      <c r="E1" s="490"/>
      <c r="G1" s="515" t="s">
        <v>76</v>
      </c>
      <c r="H1" s="515"/>
    </row>
    <row r="2" spans="1:11">
      <c r="G2" s="352"/>
      <c r="H2" s="353"/>
    </row>
    <row r="3" spans="1:11" ht="18.75" outlineLevel="1">
      <c r="B3" s="94" t="s">
        <v>27</v>
      </c>
      <c r="C3">
        <v>38.700000000000003</v>
      </c>
      <c r="D3" s="1">
        <f>C22/C3</f>
        <v>1378.4400516795865</v>
      </c>
      <c r="G3" s="354" t="s">
        <v>28</v>
      </c>
      <c r="H3" s="356">
        <v>60866.14</v>
      </c>
      <c r="I3" s="351"/>
      <c r="J3">
        <f>ROUND(H3*0.3,2)</f>
        <v>18259.84</v>
      </c>
      <c r="K3" t="s">
        <v>77</v>
      </c>
    </row>
    <row r="4" spans="1:11" ht="17.25" customHeight="1" outlineLevel="1">
      <c r="B4" s="94" t="s">
        <v>31</v>
      </c>
      <c r="C4">
        <v>11.5</v>
      </c>
      <c r="G4" s="354" t="s">
        <v>32</v>
      </c>
      <c r="H4" s="355">
        <f>C17+C18+C19+C20+C21</f>
        <v>5598.0300000000007</v>
      </c>
      <c r="I4" s="320"/>
      <c r="J4">
        <f>ROUND(H3*0.6,2)</f>
        <v>36519.68</v>
      </c>
      <c r="K4" t="s">
        <v>78</v>
      </c>
    </row>
    <row r="5" spans="1:11">
      <c r="B5" s="322" t="s">
        <v>34</v>
      </c>
      <c r="C5" s="43">
        <f>SUM(C3:C4)</f>
        <v>50.2</v>
      </c>
      <c r="D5" s="317">
        <f>C22/C5</f>
        <v>1062.6619521912351</v>
      </c>
      <c r="G5" s="354" t="s">
        <v>35</v>
      </c>
      <c r="H5" s="355">
        <f>(H3+H4)*0.07</f>
        <v>4652.4919</v>
      </c>
      <c r="J5">
        <f>ROUND(H3*0.1,2)</f>
        <v>6086.61</v>
      </c>
      <c r="K5" t="s">
        <v>79</v>
      </c>
    </row>
    <row r="6" spans="1:11" ht="16.5" customHeight="1">
      <c r="A6" s="96"/>
      <c r="B6" s="345" t="s">
        <v>37</v>
      </c>
      <c r="C6" s="371" t="s">
        <v>38</v>
      </c>
      <c r="D6" s="362" t="s">
        <v>39</v>
      </c>
      <c r="E6" s="345" t="s">
        <v>40</v>
      </c>
      <c r="G6" s="354" t="s">
        <v>41</v>
      </c>
      <c r="H6" s="355">
        <f>H3+H4-D22-H5</f>
        <v>13403.113794879995</v>
      </c>
    </row>
    <row r="7" spans="1:11">
      <c r="A7" s="346">
        <v>1</v>
      </c>
      <c r="B7" s="97" t="s">
        <v>42</v>
      </c>
      <c r="C7" s="376">
        <v>16939.259999999998</v>
      </c>
      <c r="D7" s="409">
        <f>(307.31-160)*1.48*1.2359+160+7569.85*1.48*1.2359+3720+1278.66</f>
        <v>19274.364305120002</v>
      </c>
      <c r="E7" s="404">
        <f>C7-D7</f>
        <v>-2335.1043051200031</v>
      </c>
      <c r="H7" s="239">
        <f>H6/(H3+H4)</f>
        <v>0.20165923677193284</v>
      </c>
    </row>
    <row r="8" spans="1:11">
      <c r="A8" s="345">
        <f>A7+1</f>
        <v>2</v>
      </c>
      <c r="B8" s="96" t="s">
        <v>43</v>
      </c>
      <c r="C8" s="371">
        <v>6883.41</v>
      </c>
      <c r="D8" s="363">
        <f>344+437.19+B30+870+1833.76+83.63+265+86.1+460.65+321.16+1078.51+145.16+1176.79+301.66+834.61</f>
        <v>8238.2199999999993</v>
      </c>
      <c r="E8" s="96">
        <f t="shared" ref="E8:E25" si="0">C8-D8</f>
        <v>-1354.8099999999995</v>
      </c>
    </row>
    <row r="9" spans="1:11">
      <c r="A9" s="345">
        <f t="shared" ref="A9:A19" si="1">A8+1</f>
        <v>3</v>
      </c>
      <c r="B9" s="96" t="s">
        <v>45</v>
      </c>
      <c r="C9" s="378">
        <v>4000</v>
      </c>
      <c r="D9" s="363">
        <v>3537.06</v>
      </c>
      <c r="E9" s="404">
        <f t="shared" si="0"/>
        <v>462.94000000000005</v>
      </c>
      <c r="G9" s="369" t="s">
        <v>46</v>
      </c>
      <c r="H9" s="370">
        <f>C7/C27</f>
        <v>22.163103493392647</v>
      </c>
      <c r="J9" s="49"/>
    </row>
    <row r="10" spans="1:11">
      <c r="A10" s="345">
        <f t="shared" si="1"/>
        <v>4</v>
      </c>
      <c r="B10" s="96" t="s">
        <v>47</v>
      </c>
      <c r="C10" s="378">
        <v>500</v>
      </c>
      <c r="D10" s="363"/>
      <c r="E10" s="404">
        <f t="shared" si="0"/>
        <v>500</v>
      </c>
      <c r="G10" s="371" t="s">
        <v>48</v>
      </c>
      <c r="H10" s="372">
        <f>C27/C5</f>
        <v>15.225099601593623</v>
      </c>
    </row>
    <row r="11" spans="1:11">
      <c r="A11" s="345">
        <f t="shared" si="1"/>
        <v>5</v>
      </c>
      <c r="B11" s="96" t="s">
        <v>49</v>
      </c>
      <c r="C11" s="378">
        <v>400</v>
      </c>
      <c r="D11" s="363">
        <v>18.97</v>
      </c>
      <c r="E11" s="404">
        <f t="shared" si="0"/>
        <v>381.03</v>
      </c>
      <c r="G11" s="371" t="s">
        <v>50</v>
      </c>
      <c r="H11" s="378">
        <f>H9*H10</f>
        <v>337.43545816733064</v>
      </c>
    </row>
    <row r="12" spans="1:11">
      <c r="A12" s="345">
        <f t="shared" si="1"/>
        <v>6</v>
      </c>
      <c r="B12" s="96" t="s">
        <v>80</v>
      </c>
      <c r="C12" s="378">
        <v>800</v>
      </c>
      <c r="D12" s="363">
        <v>350</v>
      </c>
      <c r="E12" s="404">
        <f t="shared" si="0"/>
        <v>450</v>
      </c>
    </row>
    <row r="13" spans="1:11">
      <c r="A13" s="345">
        <f t="shared" si="1"/>
        <v>7</v>
      </c>
      <c r="B13" s="96" t="s">
        <v>81</v>
      </c>
      <c r="C13" s="378">
        <v>12050</v>
      </c>
      <c r="D13" s="402">
        <v>12024.84</v>
      </c>
      <c r="E13" s="404">
        <f t="shared" si="0"/>
        <v>25.159999999999854</v>
      </c>
      <c r="G13" s="366" t="s">
        <v>55</v>
      </c>
      <c r="H13" s="367">
        <f>D7/D27</f>
        <v>26.07110010160963</v>
      </c>
    </row>
    <row r="14" spans="1:11">
      <c r="A14" s="345">
        <f t="shared" si="1"/>
        <v>8</v>
      </c>
      <c r="B14" s="96" t="s">
        <v>82</v>
      </c>
      <c r="C14" s="378"/>
      <c r="D14" s="363"/>
      <c r="E14" s="404">
        <f t="shared" si="0"/>
        <v>0</v>
      </c>
      <c r="G14" s="366" t="s">
        <v>57</v>
      </c>
      <c r="H14" s="368">
        <f>D27/C5</f>
        <v>14.727091633466136</v>
      </c>
    </row>
    <row r="15" spans="1:11">
      <c r="A15" s="345">
        <f t="shared" si="1"/>
        <v>9</v>
      </c>
      <c r="B15" s="96" t="s">
        <v>83</v>
      </c>
      <c r="C15" s="378">
        <f>1200+2400</f>
        <v>3600</v>
      </c>
      <c r="D15" s="363">
        <f>373.75+2095.13</f>
        <v>2468.88</v>
      </c>
      <c r="E15" s="404">
        <f t="shared" si="0"/>
        <v>1131.1199999999999</v>
      </c>
      <c r="G15" s="366" t="s">
        <v>59</v>
      </c>
      <c r="H15" s="374">
        <f>H14*H13</f>
        <v>383.95148018167333</v>
      </c>
    </row>
    <row r="16" spans="1:11">
      <c r="A16" s="345">
        <f t="shared" si="1"/>
        <v>10</v>
      </c>
      <c r="B16" s="96" t="s">
        <v>84</v>
      </c>
      <c r="C16" s="371">
        <f>23924.93-C9-C10-C11-C12-C13-C14-C15</f>
        <v>2574.9300000000003</v>
      </c>
      <c r="D16" s="363">
        <f>133.83+125+81.63+218.9+116.55+30.32+480</f>
        <v>1186.23</v>
      </c>
      <c r="E16" s="96">
        <f t="shared" si="0"/>
        <v>1388.7000000000003</v>
      </c>
    </row>
    <row r="17" spans="1:21">
      <c r="A17" s="345">
        <f t="shared" si="1"/>
        <v>11</v>
      </c>
      <c r="B17" s="96" t="s">
        <v>85</v>
      </c>
      <c r="C17" s="405">
        <v>3135.73</v>
      </c>
      <c r="D17" s="363"/>
      <c r="E17" s="96">
        <f t="shared" si="0"/>
        <v>3135.73</v>
      </c>
      <c r="G17" s="375" t="s">
        <v>62</v>
      </c>
      <c r="H17" s="374">
        <f>(D7+D9+D11)/D27</f>
        <v>30.881096043717033</v>
      </c>
    </row>
    <row r="18" spans="1:21">
      <c r="A18" s="345">
        <f t="shared" si="1"/>
        <v>12</v>
      </c>
      <c r="B18" s="96" t="s">
        <v>86</v>
      </c>
      <c r="C18" s="405">
        <v>542.4</v>
      </c>
      <c r="D18" s="363"/>
      <c r="E18" s="96">
        <f t="shared" si="0"/>
        <v>542.4</v>
      </c>
      <c r="G18" s="366" t="s">
        <v>64</v>
      </c>
      <c r="H18" s="374">
        <f>3537.06/19/5</f>
        <v>37.232210526315789</v>
      </c>
    </row>
    <row r="19" spans="1:21">
      <c r="A19" s="345">
        <f t="shared" si="1"/>
        <v>13</v>
      </c>
      <c r="B19" s="96" t="s">
        <v>87</v>
      </c>
      <c r="C19" s="405">
        <v>413.4</v>
      </c>
      <c r="D19" s="363"/>
      <c r="E19" s="96">
        <f t="shared" si="0"/>
        <v>413.4</v>
      </c>
    </row>
    <row r="20" spans="1:21">
      <c r="A20" s="345"/>
      <c r="B20" s="96" t="s">
        <v>88</v>
      </c>
      <c r="C20" s="405">
        <v>126.5</v>
      </c>
      <c r="D20" s="363">
        <v>110</v>
      </c>
      <c r="E20" s="96">
        <f t="shared" si="0"/>
        <v>16.5</v>
      </c>
      <c r="U20" s="1">
        <f>C22-C21-C20-C19-C18-C17</f>
        <v>47747.6</v>
      </c>
    </row>
    <row r="21" spans="1:21">
      <c r="A21" s="345"/>
      <c r="B21" s="96" t="s">
        <v>89</v>
      </c>
      <c r="C21" s="405">
        <v>1380</v>
      </c>
      <c r="D21" s="363">
        <v>1200</v>
      </c>
      <c r="E21" s="96">
        <f t="shared" si="0"/>
        <v>180</v>
      </c>
    </row>
    <row r="22" spans="1:21" ht="18.75">
      <c r="A22" s="96"/>
      <c r="B22" s="96" t="s">
        <v>66</v>
      </c>
      <c r="C22" s="378">
        <f>SUM(C7:C21)</f>
        <v>53345.630000000005</v>
      </c>
      <c r="D22" s="402">
        <f>SUM(D7:D21)</f>
        <v>48408.564305120002</v>
      </c>
      <c r="E22" s="453">
        <f t="shared" si="0"/>
        <v>4937.0656948800024</v>
      </c>
      <c r="F22" s="93"/>
      <c r="H22" s="1">
        <f>D22+H5</f>
        <v>53061.056205120003</v>
      </c>
    </row>
    <row r="23" spans="1:21" ht="15" customHeight="1">
      <c r="C23" s="452">
        <f>(H3+H4-C22)/(H3+H4)</f>
        <v>0.19737762466604178</v>
      </c>
      <c r="D23" s="43"/>
      <c r="G23" s="43"/>
      <c r="H23" s="43"/>
      <c r="I23" s="357"/>
      <c r="M23" s="1"/>
    </row>
    <row r="24" spans="1:21">
      <c r="B24" s="96" t="s">
        <v>67</v>
      </c>
      <c r="C24" s="373">
        <v>568</v>
      </c>
      <c r="D24" s="364">
        <f>20+563.2</f>
        <v>583.20000000000005</v>
      </c>
      <c r="E24" s="96">
        <f t="shared" si="0"/>
        <v>-15.200000000000045</v>
      </c>
      <c r="I24" s="357"/>
    </row>
    <row r="25" spans="1:21" ht="15" customHeight="1">
      <c r="B25" s="96" t="s">
        <v>68</v>
      </c>
      <c r="C25" s="373">
        <f>C24/4</f>
        <v>142</v>
      </c>
      <c r="D25" s="364">
        <f>132+24.1</f>
        <v>156.1</v>
      </c>
      <c r="E25" s="96">
        <f t="shared" si="0"/>
        <v>-14.099999999999994</v>
      </c>
      <c r="I25" s="358"/>
    </row>
    <row r="26" spans="1:21">
      <c r="B26" s="96" t="s">
        <v>69</v>
      </c>
      <c r="C26" s="373">
        <v>54.3</v>
      </c>
      <c r="D26" s="364"/>
      <c r="E26" s="96">
        <f>C26-D26</f>
        <v>54.3</v>
      </c>
      <c r="G26" s="359"/>
      <c r="H26" s="359"/>
      <c r="I26" s="359"/>
    </row>
    <row r="27" spans="1:21" ht="18.75">
      <c r="B27" s="96" t="s">
        <v>66</v>
      </c>
      <c r="C27" s="373">
        <f>SUM(C24:C26)</f>
        <v>764.3</v>
      </c>
      <c r="D27" s="364">
        <f t="shared" ref="D27:E27" si="2">SUM(D24:D26)</f>
        <v>739.30000000000007</v>
      </c>
      <c r="E27" s="347">
        <f t="shared" si="2"/>
        <v>24.999999999999957</v>
      </c>
      <c r="G27" s="360"/>
      <c r="H27" s="360"/>
      <c r="I27" s="360"/>
    </row>
    <row r="28" spans="1:21">
      <c r="A28" s="140"/>
      <c r="B28" s="272"/>
      <c r="C28" s="240"/>
      <c r="G28" s="360"/>
      <c r="H28" s="361"/>
      <c r="I28" s="361"/>
    </row>
    <row r="29" spans="1:21">
      <c r="A29" s="141"/>
      <c r="G29" s="43"/>
      <c r="H29" s="43"/>
      <c r="I29" s="43"/>
    </row>
    <row r="30" spans="1:21">
      <c r="B30" s="328">
        <f>B31+B32+B33+B34</f>
        <v>0</v>
      </c>
      <c r="G30" s="43"/>
      <c r="H30" s="43"/>
      <c r="I30" s="43"/>
    </row>
  </sheetData>
  <mergeCells count="1">
    <mergeCell ref="G1:H1"/>
  </mergeCells>
  <conditionalFormatting sqref="H13:I13">
    <cfRule type="cellIs" dxfId="138" priority="7" operator="greaterThan">
      <formula>$H$9</formula>
    </cfRule>
  </conditionalFormatting>
  <conditionalFormatting sqref="H2:I2">
    <cfRule type="cellIs" dxfId="137" priority="8" operator="greaterThan">
      <formula>#REF!</formula>
    </cfRule>
  </conditionalFormatting>
  <conditionalFormatting sqref="E7:E22">
    <cfRule type="cellIs" dxfId="136" priority="6" operator="lessThan">
      <formula>0</formula>
    </cfRule>
  </conditionalFormatting>
  <conditionalFormatting sqref="E24:E27">
    <cfRule type="cellIs" dxfId="135" priority="5" operator="lessThan">
      <formula>0</formula>
    </cfRule>
  </conditionalFormatting>
  <conditionalFormatting sqref="H14:I14">
    <cfRule type="cellIs" dxfId="134" priority="9" operator="greaterThan">
      <formula>$H$10</formula>
    </cfRule>
  </conditionalFormatting>
  <conditionalFormatting sqref="H13:I13">
    <cfRule type="cellIs" dxfId="133" priority="4" operator="greaterThan">
      <formula>$H$9</formula>
    </cfRule>
  </conditionalFormatting>
  <conditionalFormatting sqref="H15:I15">
    <cfRule type="cellIs" dxfId="132" priority="3" operator="greaterThan">
      <formula>$H$11</formula>
    </cfRule>
  </conditionalFormatting>
  <conditionalFormatting sqref="F7:F22">
    <cfRule type="cellIs" dxfId="131" priority="2" operator="lessThan">
      <formula>0</formula>
    </cfRule>
  </conditionalFormatting>
  <conditionalFormatting sqref="F24:F27">
    <cfRule type="cellIs" dxfId="130" priority="1" operator="lessThan">
      <formula>0</formula>
    </cfRule>
  </conditionalFormatting>
  <pageMargins left="0.7" right="0.7" top="0.75" bottom="0.75" header="0.3" footer="0.3"/>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613157-6920-4765-AF9A-77BC86E2249E}">
  <sheetPr>
    <tabColor rgb="FF92D050"/>
    <pageSetUpPr fitToPage="1"/>
  </sheetPr>
  <dimension ref="A1:L29"/>
  <sheetViews>
    <sheetView topLeftCell="B1" workbookViewId="0">
      <selection activeCell="J17" sqref="J17"/>
    </sheetView>
  </sheetViews>
  <sheetFormatPr defaultRowHeight="15" outlineLevelRow="1"/>
  <cols>
    <col min="1" max="1" width="10" bestFit="1" customWidth="1"/>
    <col min="2" max="2" width="30.140625" bestFit="1" customWidth="1"/>
    <col min="3" max="3" width="14.85546875" customWidth="1"/>
    <col min="4" max="4" width="10.7109375" customWidth="1"/>
    <col min="5" max="5" width="16.28515625" customWidth="1"/>
    <col min="6" max="6" width="7.140625" customWidth="1"/>
    <col min="7" max="7" width="35.7109375" customWidth="1"/>
    <col min="8" max="8" width="23.42578125" customWidth="1"/>
    <col min="9" max="9" width="15" customWidth="1"/>
    <col min="10" max="10" width="12.7109375" customWidth="1"/>
  </cols>
  <sheetData>
    <row r="1" spans="1:12" s="387" customFormat="1" ht="18.75">
      <c r="A1" s="377" t="s">
        <v>90</v>
      </c>
      <c r="B1" s="514" t="s">
        <v>91</v>
      </c>
      <c r="C1" s="514"/>
      <c r="D1" s="514"/>
      <c r="E1" s="514"/>
      <c r="G1" s="515" t="s">
        <v>92</v>
      </c>
      <c r="H1" s="515"/>
    </row>
    <row r="2" spans="1:12">
      <c r="G2" s="352"/>
      <c r="H2" s="353"/>
      <c r="J2" t="s">
        <v>93</v>
      </c>
      <c r="K2" t="s">
        <v>94</v>
      </c>
      <c r="L2" t="s">
        <v>95</v>
      </c>
    </row>
    <row r="3" spans="1:12" ht="18.75" outlineLevel="1">
      <c r="B3" s="94" t="s">
        <v>27</v>
      </c>
      <c r="C3">
        <f>52.12+53.02</f>
        <v>105.14</v>
      </c>
      <c r="D3" s="1">
        <f>C20/C3</f>
        <v>959.09216283051182</v>
      </c>
      <c r="G3" s="354" t="s">
        <v>28</v>
      </c>
      <c r="H3" s="356">
        <f>58500+60000</f>
        <v>118500</v>
      </c>
      <c r="I3" s="351"/>
      <c r="J3">
        <f>H3*0.3</f>
        <v>35550</v>
      </c>
      <c r="K3">
        <f>H3*0.6</f>
        <v>71100</v>
      </c>
      <c r="L3">
        <f>H3*0.1</f>
        <v>11850</v>
      </c>
    </row>
    <row r="4" spans="1:12" ht="17.25" customHeight="1" outlineLevel="1">
      <c r="B4" s="94" t="s">
        <v>31</v>
      </c>
      <c r="C4">
        <f>11.5+0.7+11.5+0.7</f>
        <v>24.4</v>
      </c>
      <c r="G4" s="354" t="s">
        <v>32</v>
      </c>
      <c r="H4" s="355">
        <v>6000</v>
      </c>
      <c r="I4" s="439" t="s">
        <v>96</v>
      </c>
      <c r="J4">
        <f>58500*0.3</f>
        <v>17550</v>
      </c>
      <c r="K4">
        <f>58500*0.6</f>
        <v>35100</v>
      </c>
      <c r="L4">
        <f>58500*0.1</f>
        <v>5850</v>
      </c>
    </row>
    <row r="5" spans="1:12">
      <c r="B5" s="322" t="s">
        <v>34</v>
      </c>
      <c r="C5" s="43">
        <f>SUM(C3:C4)</f>
        <v>129.54</v>
      </c>
      <c r="D5" s="317">
        <f>C20/C5</f>
        <v>778.43870619113807</v>
      </c>
      <c r="G5" s="354" t="s">
        <v>35</v>
      </c>
      <c r="H5" s="355">
        <f>(H3+H4)*0.07</f>
        <v>8715</v>
      </c>
      <c r="I5" s="438" t="s">
        <v>97</v>
      </c>
      <c r="J5">
        <f>60000*0.3</f>
        <v>18000</v>
      </c>
      <c r="K5">
        <f>60000*0.6</f>
        <v>36000</v>
      </c>
      <c r="L5">
        <f>60000*0.1</f>
        <v>6000</v>
      </c>
    </row>
    <row r="6" spans="1:12" ht="16.5" customHeight="1">
      <c r="A6" s="96"/>
      <c r="B6" s="345" t="s">
        <v>37</v>
      </c>
      <c r="C6" s="371" t="s">
        <v>38</v>
      </c>
      <c r="D6" s="362" t="s">
        <v>39</v>
      </c>
      <c r="E6" s="345" t="s">
        <v>40</v>
      </c>
      <c r="G6" s="354" t="s">
        <v>41</v>
      </c>
      <c r="H6" s="355">
        <f>H3+H4-D20-H5</f>
        <v>25360.818112759982</v>
      </c>
      <c r="I6" s="438"/>
      <c r="J6" t="s">
        <v>98</v>
      </c>
      <c r="K6" t="s">
        <v>99</v>
      </c>
      <c r="L6" t="s">
        <v>100</v>
      </c>
    </row>
    <row r="7" spans="1:12">
      <c r="A7" s="346">
        <v>1</v>
      </c>
      <c r="B7" s="97" t="s">
        <v>42</v>
      </c>
      <c r="C7" s="376">
        <f>19664.97+20525.52</f>
        <v>40190.490000000005</v>
      </c>
      <c r="D7" s="409">
        <f>10627.8*1.48*1.2359+7450+252+2143.86*1.48*1.2359+1850+(592.41-350)*1.48*1.2359+350+2554.63+590.13</f>
        <v>36851.211887239995</v>
      </c>
      <c r="E7" s="404">
        <f>C7-D7</f>
        <v>3339.2781127600101</v>
      </c>
      <c r="H7" s="239">
        <f>H6/(H3+H4)</f>
        <v>0.20370135030329303</v>
      </c>
      <c r="J7" t="s">
        <v>101</v>
      </c>
      <c r="K7" t="s">
        <v>102</v>
      </c>
      <c r="L7" t="s">
        <v>103</v>
      </c>
    </row>
    <row r="8" spans="1:12">
      <c r="A8" s="345">
        <f>A7+1</f>
        <v>2</v>
      </c>
      <c r="B8" s="96" t="s">
        <v>43</v>
      </c>
      <c r="C8" s="371">
        <f>8500.82+8861.99</f>
        <v>17362.809999999998</v>
      </c>
      <c r="D8" s="363">
        <f>C29+719.69+4147.84+360.46+534.35+1897.11+608.27+693.2+1826.42+459.28+696.14+856.54+219.1+331.19+664-82.3+169.07+104+46.3+5.65+122.2+21.41+122.36+61.2+342.04+19.9+24.65+25.92</f>
        <v>14995.990000000005</v>
      </c>
      <c r="E8" s="96">
        <f t="shared" ref="E8:E24" si="0">C8-D8</f>
        <v>2366.8199999999924</v>
      </c>
    </row>
    <row r="9" spans="1:12">
      <c r="A9" s="345">
        <f t="shared" ref="A9:A19" si="1">A8+1</f>
        <v>3</v>
      </c>
      <c r="B9" s="96" t="s">
        <v>45</v>
      </c>
      <c r="C9" s="378">
        <f>2100+2100</f>
        <v>4200</v>
      </c>
      <c r="D9" s="363">
        <f>5015.69+196</f>
        <v>5211.6899999999996</v>
      </c>
      <c r="E9" s="404">
        <f t="shared" si="0"/>
        <v>-1011.6899999999996</v>
      </c>
      <c r="G9" s="369" t="s">
        <v>46</v>
      </c>
      <c r="H9" s="370">
        <f>C7/C25</f>
        <v>25.366378439787933</v>
      </c>
      <c r="J9" s="49"/>
    </row>
    <row r="10" spans="1:12">
      <c r="A10" s="345">
        <f t="shared" si="1"/>
        <v>4</v>
      </c>
      <c r="B10" s="96" t="s">
        <v>47</v>
      </c>
      <c r="C10" s="378">
        <f>550+550</f>
        <v>1100</v>
      </c>
      <c r="D10" s="402">
        <f>251+248.95+304.98</f>
        <v>804.93000000000006</v>
      </c>
      <c r="E10" s="404">
        <f t="shared" si="0"/>
        <v>295.06999999999994</v>
      </c>
      <c r="G10" s="371" t="s">
        <v>48</v>
      </c>
      <c r="H10" s="372">
        <f>C25/C5</f>
        <v>12.230971128608925</v>
      </c>
    </row>
    <row r="11" spans="1:12">
      <c r="A11" s="345">
        <f t="shared" si="1"/>
        <v>5</v>
      </c>
      <c r="B11" s="96" t="s">
        <v>49</v>
      </c>
      <c r="C11" s="378">
        <f>900+900</f>
        <v>1800</v>
      </c>
      <c r="D11" s="363">
        <f>63.38/2+16.47+515.96+114.91</f>
        <v>679.03</v>
      </c>
      <c r="E11" s="404">
        <f t="shared" si="0"/>
        <v>1120.97</v>
      </c>
      <c r="G11" s="371" t="s">
        <v>50</v>
      </c>
      <c r="H11" s="378">
        <f>H9*H10</f>
        <v>310.25544233441411</v>
      </c>
    </row>
    <row r="12" spans="1:12">
      <c r="A12" s="345">
        <f t="shared" si="1"/>
        <v>6</v>
      </c>
      <c r="B12" s="96" t="s">
        <v>80</v>
      </c>
      <c r="C12" s="378">
        <f>500+500</f>
        <v>1000</v>
      </c>
      <c r="D12" s="402">
        <f>1180+650</f>
        <v>1830</v>
      </c>
      <c r="E12" s="404">
        <f t="shared" si="0"/>
        <v>-830</v>
      </c>
    </row>
    <row r="13" spans="1:12">
      <c r="A13" s="345">
        <f t="shared" si="1"/>
        <v>7</v>
      </c>
      <c r="B13" s="96" t="s">
        <v>104</v>
      </c>
      <c r="C13" s="371">
        <f>11284.4+11392.4+1150+1150</f>
        <v>24976.799999999999</v>
      </c>
      <c r="D13" s="402">
        <v>21193</v>
      </c>
      <c r="E13" s="404">
        <f t="shared" si="0"/>
        <v>3783.7999999999993</v>
      </c>
      <c r="G13" s="366" t="s">
        <v>55</v>
      </c>
      <c r="H13" s="367">
        <f>D7/D25</f>
        <v>24.367820912153093</v>
      </c>
    </row>
    <row r="14" spans="1:12">
      <c r="A14" s="345">
        <f t="shared" si="1"/>
        <v>8</v>
      </c>
      <c r="B14" s="96" t="s">
        <v>82</v>
      </c>
      <c r="C14" s="378">
        <v>2300</v>
      </c>
      <c r="D14" s="402">
        <f>2847.44</f>
        <v>2847.44</v>
      </c>
      <c r="E14" s="404">
        <f t="shared" si="0"/>
        <v>-547.44000000000005</v>
      </c>
      <c r="G14" s="366" t="s">
        <v>57</v>
      </c>
      <c r="H14" s="368">
        <f>D25/C5</f>
        <v>11.674309093716225</v>
      </c>
    </row>
    <row r="15" spans="1:12">
      <c r="A15" s="345">
        <f t="shared" si="1"/>
        <v>9</v>
      </c>
      <c r="B15" s="96" t="s">
        <v>83</v>
      </c>
      <c r="C15" s="378">
        <v>2200</v>
      </c>
      <c r="D15" s="363">
        <f>738.13+113.94+60</f>
        <v>912.06999999999994</v>
      </c>
      <c r="E15" s="404">
        <f t="shared" si="0"/>
        <v>1287.93</v>
      </c>
      <c r="G15" s="366" t="s">
        <v>59</v>
      </c>
      <c r="H15" s="374">
        <f>H14*H13</f>
        <v>284.47747326879727</v>
      </c>
    </row>
    <row r="16" spans="1:12">
      <c r="A16" s="345">
        <f t="shared" si="1"/>
        <v>10</v>
      </c>
      <c r="B16" s="96" t="s">
        <v>84</v>
      </c>
      <c r="C16" s="378">
        <f>19131.06+19290.59-C9-C10-C11-C12-C13-C14-C15</f>
        <v>844.85000000000218</v>
      </c>
      <c r="D16" s="363">
        <f>125+354.32+188.24+105+45+48+296.1+105+173.9+38.01+85+80</f>
        <v>1643.57</v>
      </c>
      <c r="E16" s="96">
        <f t="shared" si="0"/>
        <v>-798.71999999999775</v>
      </c>
    </row>
    <row r="17" spans="1:9">
      <c r="A17" s="345">
        <f t="shared" si="1"/>
        <v>11</v>
      </c>
      <c r="B17" s="96" t="s">
        <v>85</v>
      </c>
      <c r="C17" s="371">
        <v>4864</v>
      </c>
      <c r="D17" s="363">
        <f>850+1399.79+1205.46</f>
        <v>3455.25</v>
      </c>
      <c r="E17" s="96">
        <f t="shared" si="0"/>
        <v>1408.75</v>
      </c>
      <c r="G17" s="375" t="s">
        <v>62</v>
      </c>
      <c r="H17" s="497">
        <f>(D7+D9+D11)/D25</f>
        <v>28.263052646807161</v>
      </c>
    </row>
    <row r="18" spans="1:9">
      <c r="A18" s="345">
        <f t="shared" si="1"/>
        <v>12</v>
      </c>
      <c r="B18" s="96" t="s">
        <v>86</v>
      </c>
      <c r="C18" s="371"/>
      <c r="D18" s="363"/>
      <c r="E18" s="96">
        <f t="shared" si="0"/>
        <v>0</v>
      </c>
      <c r="G18" s="366" t="s">
        <v>64</v>
      </c>
      <c r="H18" s="365">
        <f>5015.96/32/6</f>
        <v>26.124791666666667</v>
      </c>
    </row>
    <row r="19" spans="1:9">
      <c r="A19" s="345">
        <f t="shared" si="1"/>
        <v>13</v>
      </c>
      <c r="B19" s="96"/>
      <c r="C19" s="371"/>
      <c r="D19" s="363"/>
      <c r="E19" s="96">
        <f t="shared" si="0"/>
        <v>0</v>
      </c>
    </row>
    <row r="20" spans="1:9" ht="18.75">
      <c r="A20" s="96"/>
      <c r="B20" s="96" t="s">
        <v>66</v>
      </c>
      <c r="C20" s="371">
        <f>SUM(C7:C19)</f>
        <v>100838.95000000001</v>
      </c>
      <c r="D20" s="402">
        <f>SUM(D7:D19)</f>
        <v>90424.181887240018</v>
      </c>
      <c r="E20" s="453">
        <f t="shared" si="0"/>
        <v>10414.768112759994</v>
      </c>
      <c r="F20" s="93"/>
      <c r="H20" s="1">
        <f>D20+H5</f>
        <v>99139.181887240018</v>
      </c>
    </row>
    <row r="21" spans="1:9" ht="15" customHeight="1">
      <c r="C21" s="452">
        <f>(H3+H4-C20)/(H3+H4)</f>
        <v>0.19004859437750996</v>
      </c>
      <c r="D21" s="43"/>
      <c r="G21" s="43"/>
      <c r="H21" s="43"/>
      <c r="I21" s="357"/>
    </row>
    <row r="22" spans="1:9">
      <c r="B22" s="96" t="s">
        <v>67</v>
      </c>
      <c r="C22" s="373">
        <f>626+656</f>
        <v>1282</v>
      </c>
      <c r="D22" s="364">
        <f>814.03+199.55+191.87+45.57</f>
        <v>1251.0199999999998</v>
      </c>
      <c r="E22" s="96">
        <f t="shared" si="0"/>
        <v>30.980000000000246</v>
      </c>
      <c r="I22" s="357"/>
    </row>
    <row r="23" spans="1:9" ht="15" customHeight="1">
      <c r="B23" s="96" t="s">
        <v>68</v>
      </c>
      <c r="C23" s="373">
        <f>C22/5</f>
        <v>256.39999999999998</v>
      </c>
      <c r="D23" s="364">
        <f>207.95+53.32</f>
        <v>261.27</v>
      </c>
      <c r="E23" s="96">
        <f t="shared" si="0"/>
        <v>-4.8700000000000045</v>
      </c>
      <c r="H23" s="1"/>
      <c r="I23" s="358"/>
    </row>
    <row r="24" spans="1:9">
      <c r="B24" s="96" t="s">
        <v>69</v>
      </c>
      <c r="C24" s="373">
        <v>46</v>
      </c>
      <c r="D24" s="364">
        <v>0</v>
      </c>
      <c r="E24" s="96">
        <f t="shared" si="0"/>
        <v>46</v>
      </c>
      <c r="G24" s="359"/>
      <c r="H24" s="494"/>
      <c r="I24" s="359"/>
    </row>
    <row r="25" spans="1:9" ht="18.75">
      <c r="B25" s="96" t="s">
        <v>66</v>
      </c>
      <c r="C25" s="373">
        <f>SUM(C22:C24)</f>
        <v>1584.4</v>
      </c>
      <c r="D25" s="364">
        <f t="shared" ref="D25:E25" si="2">SUM(D22:D24)</f>
        <v>1512.2899999999997</v>
      </c>
      <c r="E25" s="347">
        <f t="shared" si="2"/>
        <v>72.110000000000241</v>
      </c>
      <c r="G25" s="360"/>
      <c r="H25" s="360"/>
      <c r="I25" s="360"/>
    </row>
    <row r="26" spans="1:9">
      <c r="A26" s="140"/>
      <c r="B26" s="272"/>
      <c r="C26" s="240"/>
      <c r="G26" s="360"/>
      <c r="H26" s="361"/>
      <c r="I26" s="361"/>
    </row>
    <row r="27" spans="1:9">
      <c r="A27" s="141"/>
      <c r="G27" s="43"/>
      <c r="H27" s="43"/>
      <c r="I27" s="43"/>
    </row>
    <row r="28" spans="1:9" ht="24.75" customHeight="1">
      <c r="G28" s="43"/>
      <c r="H28" s="43"/>
      <c r="I28" s="43"/>
    </row>
    <row r="29" spans="1:9">
      <c r="B29" t="s">
        <v>70</v>
      </c>
      <c r="C29" s="328">
        <f>C30+C31+C32</f>
        <v>0</v>
      </c>
    </row>
  </sheetData>
  <mergeCells count="2">
    <mergeCell ref="B1:E1"/>
    <mergeCell ref="G1:H1"/>
  </mergeCells>
  <conditionalFormatting sqref="H13">
    <cfRule type="cellIs" dxfId="129" priority="5" operator="greaterThan">
      <formula>$H$9</formula>
    </cfRule>
  </conditionalFormatting>
  <conditionalFormatting sqref="H2">
    <cfRule type="cellIs" dxfId="128" priority="6" operator="greaterThan">
      <formula>#REF!</formula>
    </cfRule>
  </conditionalFormatting>
  <conditionalFormatting sqref="E7:E20">
    <cfRule type="cellIs" dxfId="127" priority="4" operator="lessThan">
      <formula>0</formula>
    </cfRule>
  </conditionalFormatting>
  <conditionalFormatting sqref="E22:E25">
    <cfRule type="cellIs" dxfId="126" priority="3" operator="lessThan">
      <formula>0</formula>
    </cfRule>
  </conditionalFormatting>
  <conditionalFormatting sqref="H14">
    <cfRule type="cellIs" dxfId="125" priority="7" operator="greaterThan">
      <formula>$H$10</formula>
    </cfRule>
  </conditionalFormatting>
  <conditionalFormatting sqref="H13">
    <cfRule type="cellIs" dxfId="124" priority="2" operator="greaterThan">
      <formula>$H$9</formula>
    </cfRule>
  </conditionalFormatting>
  <conditionalFormatting sqref="H15">
    <cfRule type="cellIs" dxfId="123" priority="1" operator="greaterThan">
      <formula>$H$11</formula>
    </cfRule>
  </conditionalFormatting>
  <pageMargins left="0.7" right="0.7" top="0.75" bottom="0.75" header="0.3" footer="0.3"/>
  <pageSetup paperSize="9" orientation="landscape"/>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9E1105-AE86-4572-8162-5A3A944331AC}">
  <sheetPr>
    <pageSetUpPr fitToPage="1"/>
  </sheetPr>
  <dimension ref="A1:J29"/>
  <sheetViews>
    <sheetView workbookViewId="0">
      <selection activeCell="D9" sqref="D9"/>
    </sheetView>
  </sheetViews>
  <sheetFormatPr defaultRowHeight="15" outlineLevelRow="1"/>
  <cols>
    <col min="1" max="1" width="10" bestFit="1" customWidth="1"/>
    <col min="2" max="2" width="30.140625" bestFit="1" customWidth="1"/>
    <col min="3" max="3" width="14.85546875" customWidth="1"/>
    <col min="4" max="4" width="10.7109375" customWidth="1"/>
    <col min="5" max="5" width="12.7109375" customWidth="1"/>
    <col min="6" max="6" width="7.140625" customWidth="1"/>
    <col min="7" max="7" width="35.7109375" customWidth="1"/>
    <col min="8" max="8" width="23.42578125" customWidth="1"/>
    <col min="9" max="9" width="15" customWidth="1"/>
    <col min="10" max="10" width="12.7109375" customWidth="1"/>
  </cols>
  <sheetData>
    <row r="1" spans="1:10" s="387" customFormat="1" ht="18.75">
      <c r="A1" s="377" t="s">
        <v>105</v>
      </c>
      <c r="B1" s="517" t="s">
        <v>106</v>
      </c>
      <c r="C1" s="517"/>
      <c r="D1" s="517"/>
      <c r="E1" s="517"/>
      <c r="G1" s="515" t="s">
        <v>107</v>
      </c>
      <c r="H1" s="515"/>
    </row>
    <row r="2" spans="1:10">
      <c r="G2" s="352"/>
      <c r="H2" s="353"/>
    </row>
    <row r="3" spans="1:10" ht="18.75" outlineLevel="1">
      <c r="B3" s="94" t="s">
        <v>108</v>
      </c>
      <c r="C3">
        <v>25</v>
      </c>
      <c r="D3" s="1">
        <f>C20/C3</f>
        <v>3331.6352000000002</v>
      </c>
      <c r="G3" s="354" t="s">
        <v>28</v>
      </c>
      <c r="H3" s="356">
        <v>108322.61</v>
      </c>
      <c r="I3" s="351"/>
      <c r="J3" t="s">
        <v>109</v>
      </c>
    </row>
    <row r="4" spans="1:10" ht="17.25" customHeight="1" outlineLevel="1">
      <c r="B4" s="94" t="s">
        <v>31</v>
      </c>
      <c r="G4" s="354" t="s">
        <v>32</v>
      </c>
      <c r="H4" s="355">
        <v>5679.47</v>
      </c>
      <c r="I4" s="320"/>
      <c r="J4" t="s">
        <v>110</v>
      </c>
    </row>
    <row r="5" spans="1:10">
      <c r="B5" s="322" t="s">
        <v>34</v>
      </c>
      <c r="C5" s="43">
        <f>SUM(C3:C4)</f>
        <v>25</v>
      </c>
      <c r="D5" s="317">
        <f>C20/C5</f>
        <v>3331.6352000000002</v>
      </c>
      <c r="G5" s="354" t="s">
        <v>35</v>
      </c>
      <c r="H5" s="355">
        <f>(H3+H4)*0.07</f>
        <v>7980.1456000000007</v>
      </c>
      <c r="I5" s="419">
        <f>ROUND(H3*0.1,2)</f>
        <v>10832.26</v>
      </c>
      <c r="J5" s="419" t="s">
        <v>111</v>
      </c>
    </row>
    <row r="6" spans="1:10" ht="16.5" customHeight="1">
      <c r="A6" s="96"/>
      <c r="B6" s="345" t="s">
        <v>37</v>
      </c>
      <c r="C6" s="371" t="s">
        <v>38</v>
      </c>
      <c r="D6" s="362" t="s">
        <v>39</v>
      </c>
      <c r="E6" s="345" t="s">
        <v>40</v>
      </c>
      <c r="G6" s="354" t="s">
        <v>41</v>
      </c>
      <c r="H6" s="355">
        <f>H3+H4-D20-H5</f>
        <v>43237.817656323743</v>
      </c>
    </row>
    <row r="7" spans="1:10">
      <c r="A7" s="346">
        <v>1</v>
      </c>
      <c r="B7" s="97" t="s">
        <v>42</v>
      </c>
      <c r="C7" s="376">
        <v>32157.75</v>
      </c>
      <c r="D7" s="409">
        <f>(86.95*16.5*1.5+106.51*15.02*1.5+200+38.47+86.79-32*50)*1.48*1.2359+32*50+6759.98*1.48*1.2359+3100+316.25*1.2359+250+138.77*1.2359+250+(462-150)*1.48*1.2359+150+687</f>
        <v>25528.905077009596</v>
      </c>
      <c r="E7" s="404">
        <f>C7-D7</f>
        <v>6628.8449229904036</v>
      </c>
      <c r="H7" s="239">
        <f>H6/(H3+H4)</f>
        <v>0.37927218219460329</v>
      </c>
    </row>
    <row r="8" spans="1:10">
      <c r="A8" s="345">
        <f>A7+1</f>
        <v>2</v>
      </c>
      <c r="B8" s="96" t="s">
        <v>43</v>
      </c>
      <c r="C8" s="371">
        <v>26839.5</v>
      </c>
      <c r="D8" s="363">
        <f>C29+1101.76+444.3+535.28+43.95+89.09+57.55+4.6+19.23+6+11000+187.84-1101.76+1101.45+174.05+5000+309.8+136.91+165+4855+1.2+27.9+29.4+350</f>
        <v>24538.550000000003</v>
      </c>
      <c r="E8" s="96">
        <f t="shared" ref="E8:E24" si="0">C8-D8</f>
        <v>2300.9499999999971</v>
      </c>
    </row>
    <row r="9" spans="1:10">
      <c r="A9" s="345">
        <f t="shared" ref="A9:A19" si="1">A8+1</f>
        <v>3</v>
      </c>
      <c r="B9" s="96" t="s">
        <v>45</v>
      </c>
      <c r="C9" s="378">
        <v>5500</v>
      </c>
      <c r="D9" s="402">
        <f>373.46+117+289.48+107.16+105.3+278+354+339+75.82+131.65+91.62+31+139+126+230.56+220.32+392+160+392+335.68+129.41+134.8+109.53+334.96+336+16.35+198.02+102.59/3+7</f>
        <v>5589.3166666666675</v>
      </c>
      <c r="E9" s="404">
        <f t="shared" si="0"/>
        <v>-89.316666666667516</v>
      </c>
      <c r="G9" s="369" t="s">
        <v>46</v>
      </c>
      <c r="H9" s="370">
        <f>C7/C25</f>
        <v>43.456418918918921</v>
      </c>
      <c r="J9" s="49"/>
    </row>
    <row r="10" spans="1:10">
      <c r="A10" s="345">
        <f t="shared" si="1"/>
        <v>4</v>
      </c>
      <c r="B10" s="96" t="s">
        <v>47</v>
      </c>
      <c r="C10" s="378">
        <v>1500</v>
      </c>
      <c r="D10" s="363">
        <f>83.22+84.61+254.42+380.47+152.26/2+231.2/2+156.65/2</f>
        <v>1072.7750000000001</v>
      </c>
      <c r="E10" s="96">
        <f t="shared" si="0"/>
        <v>427.22499999999991</v>
      </c>
      <c r="G10" s="371" t="s">
        <v>48</v>
      </c>
      <c r="H10" s="372">
        <f>C25/C5</f>
        <v>29.6</v>
      </c>
    </row>
    <row r="11" spans="1:10">
      <c r="A11" s="345">
        <f t="shared" si="1"/>
        <v>5</v>
      </c>
      <c r="B11" s="96" t="s">
        <v>49</v>
      </c>
      <c r="C11" s="378">
        <v>1200</v>
      </c>
      <c r="D11" s="363">
        <f>4.25+8.73+10+8.73+149.99</f>
        <v>181.70000000000002</v>
      </c>
      <c r="E11" s="96">
        <f t="shared" si="0"/>
        <v>1018.3</v>
      </c>
      <c r="G11" s="371" t="s">
        <v>50</v>
      </c>
      <c r="H11" s="371">
        <f>H9*H10</f>
        <v>1286.3100000000002</v>
      </c>
    </row>
    <row r="12" spans="1:10">
      <c r="A12" s="345">
        <f t="shared" si="1"/>
        <v>6</v>
      </c>
      <c r="B12" s="96" t="s">
        <v>80</v>
      </c>
      <c r="C12" s="378">
        <v>4500</v>
      </c>
      <c r="D12" s="363">
        <f>680+290+690+890+740+180</f>
        <v>3470</v>
      </c>
      <c r="E12" s="404">
        <f t="shared" si="0"/>
        <v>1030</v>
      </c>
    </row>
    <row r="13" spans="1:10">
      <c r="A13" s="345">
        <f t="shared" si="1"/>
        <v>7</v>
      </c>
      <c r="B13" s="96" t="s">
        <v>104</v>
      </c>
      <c r="C13" s="371"/>
      <c r="D13" s="363"/>
      <c r="E13" s="96">
        <f t="shared" si="0"/>
        <v>0</v>
      </c>
      <c r="G13" s="366" t="s">
        <v>55</v>
      </c>
      <c r="H13" s="367">
        <f>D7/D25</f>
        <v>32.672398224902217</v>
      </c>
    </row>
    <row r="14" spans="1:10">
      <c r="A14" s="345">
        <f t="shared" si="1"/>
        <v>8</v>
      </c>
      <c r="B14" s="96" t="s">
        <v>82</v>
      </c>
      <c r="C14" s="371"/>
      <c r="D14" s="363"/>
      <c r="E14" s="96">
        <f t="shared" si="0"/>
        <v>0</v>
      </c>
      <c r="G14" s="366" t="s">
        <v>57</v>
      </c>
      <c r="H14" s="368">
        <f>D25/C5</f>
        <v>31.2544</v>
      </c>
    </row>
    <row r="15" spans="1:10">
      <c r="A15" s="345">
        <f t="shared" si="1"/>
        <v>9</v>
      </c>
      <c r="B15" s="96" t="s">
        <v>83</v>
      </c>
      <c r="C15" s="378">
        <v>2000</v>
      </c>
      <c r="D15" s="402">
        <f>15+70.95+15+63</f>
        <v>163.95</v>
      </c>
      <c r="E15" s="404">
        <f t="shared" si="0"/>
        <v>1836.05</v>
      </c>
      <c r="G15" s="366" t="s">
        <v>59</v>
      </c>
      <c r="H15" s="374">
        <f>H14*H13</f>
        <v>1021.1562030803839</v>
      </c>
    </row>
    <row r="16" spans="1:10">
      <c r="A16" s="345">
        <f t="shared" si="1"/>
        <v>10</v>
      </c>
      <c r="B16" s="96" t="s">
        <v>84</v>
      </c>
      <c r="C16" s="378">
        <f>20594.8-C9-C10-C11-C12-C15</f>
        <v>5894.7999999999993</v>
      </c>
      <c r="D16" s="363">
        <f>299.56+125+14.2+18.8+22.79+4.17+36+37+26.4+29+5.46+244.78+17.48+86.25+96.4+59.68+27.8+28+65.38+34.99+16+317.57+170+8+9.01+6.7+432.5</f>
        <v>2238.92</v>
      </c>
      <c r="E16" s="96">
        <f t="shared" si="0"/>
        <v>3655.8799999999992</v>
      </c>
    </row>
    <row r="17" spans="1:9">
      <c r="A17" s="345">
        <f t="shared" si="1"/>
        <v>11</v>
      </c>
      <c r="B17" s="96" t="s">
        <v>85</v>
      </c>
      <c r="C17" s="371">
        <f>4918.83-1220</f>
        <v>3698.83</v>
      </c>
      <c r="D17" s="363"/>
      <c r="E17" s="96">
        <f t="shared" si="0"/>
        <v>3698.83</v>
      </c>
      <c r="G17" s="375" t="s">
        <v>62</v>
      </c>
      <c r="H17" s="374">
        <f>(D7+D9+D11)/D25</f>
        <v>40.058259628949862</v>
      </c>
    </row>
    <row r="18" spans="1:9">
      <c r="A18" s="345">
        <f t="shared" si="1"/>
        <v>12</v>
      </c>
      <c r="B18" s="96" t="s">
        <v>86</v>
      </c>
      <c r="C18" s="371"/>
      <c r="D18" s="363"/>
      <c r="E18" s="96">
        <f t="shared" si="0"/>
        <v>0</v>
      </c>
      <c r="G18" s="366" t="s">
        <v>64</v>
      </c>
      <c r="H18" s="365"/>
    </row>
    <row r="19" spans="1:9">
      <c r="A19" s="345">
        <f t="shared" si="1"/>
        <v>13</v>
      </c>
      <c r="B19" s="96"/>
      <c r="C19" s="371"/>
      <c r="D19" s="363"/>
      <c r="E19" s="96">
        <f t="shared" si="0"/>
        <v>0</v>
      </c>
    </row>
    <row r="20" spans="1:9" ht="18.75">
      <c r="A20" s="96"/>
      <c r="B20" s="96" t="s">
        <v>66</v>
      </c>
      <c r="C20" s="371">
        <f>SUM(C7:C19)</f>
        <v>83290.880000000005</v>
      </c>
      <c r="D20" s="402">
        <f>SUM(D7:D19)</f>
        <v>62784.116743676255</v>
      </c>
      <c r="E20" s="453">
        <f t="shared" si="0"/>
        <v>20506.763256323749</v>
      </c>
      <c r="F20" s="93"/>
      <c r="H20" s="1">
        <f>D20+H5</f>
        <v>70764.262343676251</v>
      </c>
    </row>
    <row r="21" spans="1:9" ht="15" customHeight="1">
      <c r="C21" s="452">
        <f>(H3+H4-C20)/(H3+H4)</f>
        <v>0.2693915760133499</v>
      </c>
      <c r="D21" s="43"/>
      <c r="G21" s="43"/>
      <c r="H21" s="43"/>
      <c r="I21" s="357"/>
    </row>
    <row r="22" spans="1:9">
      <c r="B22" s="96" t="s">
        <v>67</v>
      </c>
      <c r="C22" s="373">
        <v>704</v>
      </c>
      <c r="D22" s="364">
        <f>193.46+232.88+270.05+24.3+17.15+21+11.26+11.26</f>
        <v>781.36</v>
      </c>
      <c r="E22" s="96">
        <f t="shared" si="0"/>
        <v>-77.360000000000014</v>
      </c>
      <c r="I22" s="357"/>
    </row>
    <row r="23" spans="1:9" ht="15" customHeight="1">
      <c r="B23" s="96" t="s">
        <v>68</v>
      </c>
      <c r="C23" s="373"/>
      <c r="D23" s="364"/>
      <c r="E23" s="96">
        <f t="shared" si="0"/>
        <v>0</v>
      </c>
      <c r="I23" s="358"/>
    </row>
    <row r="24" spans="1:9">
      <c r="B24" s="96" t="s">
        <v>69</v>
      </c>
      <c r="C24" s="373">
        <v>36</v>
      </c>
      <c r="D24" s="364"/>
      <c r="E24" s="96">
        <f t="shared" si="0"/>
        <v>36</v>
      </c>
      <c r="G24" s="359"/>
      <c r="H24" s="359"/>
      <c r="I24" s="359"/>
    </row>
    <row r="25" spans="1:9" ht="18.75">
      <c r="B25" s="96" t="s">
        <v>66</v>
      </c>
      <c r="C25" s="373">
        <f>SUM(C22:C24)</f>
        <v>740</v>
      </c>
      <c r="D25" s="364">
        <f t="shared" ref="D25:E25" si="2">SUM(D22:D24)</f>
        <v>781.36</v>
      </c>
      <c r="E25" s="347">
        <f t="shared" si="2"/>
        <v>-41.360000000000014</v>
      </c>
      <c r="G25" s="360"/>
      <c r="H25" s="360"/>
      <c r="I25" s="360"/>
    </row>
    <row r="26" spans="1:9">
      <c r="A26" s="140"/>
      <c r="B26" s="272"/>
      <c r="C26" s="240"/>
      <c r="G26" s="360"/>
      <c r="H26" s="361"/>
      <c r="I26" s="361"/>
    </row>
    <row r="27" spans="1:9">
      <c r="A27" s="141"/>
      <c r="G27" s="43"/>
      <c r="H27" s="43"/>
      <c r="I27" s="43"/>
    </row>
    <row r="28" spans="1:9" ht="24.75" customHeight="1">
      <c r="G28" s="43"/>
      <c r="H28" s="43"/>
      <c r="I28" s="43"/>
    </row>
    <row r="29" spans="1:9">
      <c r="B29" t="s">
        <v>70</v>
      </c>
      <c r="C29" s="328"/>
    </row>
  </sheetData>
  <mergeCells count="2">
    <mergeCell ref="B1:E1"/>
    <mergeCell ref="G1:H1"/>
  </mergeCells>
  <conditionalFormatting sqref="H13">
    <cfRule type="cellIs" dxfId="122" priority="5" operator="greaterThan">
      <formula>$H$9</formula>
    </cfRule>
  </conditionalFormatting>
  <conditionalFormatting sqref="H2">
    <cfRule type="cellIs" dxfId="121" priority="6" operator="greaterThan">
      <formula>#REF!</formula>
    </cfRule>
  </conditionalFormatting>
  <conditionalFormatting sqref="E7:E20">
    <cfRule type="cellIs" dxfId="120" priority="4" operator="lessThan">
      <formula>0</formula>
    </cfRule>
  </conditionalFormatting>
  <conditionalFormatting sqref="E22:E25">
    <cfRule type="cellIs" dxfId="119" priority="3" operator="lessThan">
      <formula>0</formula>
    </cfRule>
  </conditionalFormatting>
  <conditionalFormatting sqref="H14">
    <cfRule type="cellIs" dxfId="118" priority="7" operator="greaterThan">
      <formula>$H$10</formula>
    </cfRule>
  </conditionalFormatting>
  <conditionalFormatting sqref="H13">
    <cfRule type="cellIs" dxfId="117" priority="2" operator="greaterThan">
      <formula>$H$9</formula>
    </cfRule>
  </conditionalFormatting>
  <conditionalFormatting sqref="H15">
    <cfRule type="cellIs" dxfId="116" priority="1" operator="greaterThan">
      <formula>$H$11</formula>
    </cfRule>
  </conditionalFormatting>
  <pageMargins left="0.7" right="0.7" top="0.75" bottom="0.75" header="0.3" footer="0.3"/>
  <pageSetup paperSize="9" orientation="landscape"/>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5945F3-F848-4EE5-BD1E-166682D59290}">
  <sheetPr>
    <pageSetUpPr fitToPage="1"/>
  </sheetPr>
  <dimension ref="A1:N65"/>
  <sheetViews>
    <sheetView topLeftCell="A39" workbookViewId="0">
      <selection activeCell="B66" sqref="B66"/>
    </sheetView>
  </sheetViews>
  <sheetFormatPr defaultRowHeight="15" outlineLevelRow="1"/>
  <cols>
    <col min="1" max="1" width="26.5703125" customWidth="1"/>
    <col min="2" max="2" width="30.140625" bestFit="1" customWidth="1"/>
    <col min="3" max="3" width="14.85546875" customWidth="1"/>
    <col min="4" max="4" width="10.7109375" customWidth="1"/>
    <col min="5" max="5" width="13.140625" customWidth="1"/>
    <col min="6" max="6" width="7.140625" customWidth="1"/>
    <col min="7" max="7" width="35.7109375" customWidth="1"/>
    <col min="8" max="8" width="23.42578125" customWidth="1"/>
    <col min="9" max="9" width="15" customWidth="1"/>
    <col min="10" max="10" width="12.7109375" customWidth="1"/>
    <col min="12" max="12" width="12.5703125" customWidth="1"/>
  </cols>
  <sheetData>
    <row r="1" spans="1:14" s="387" customFormat="1" ht="18.75">
      <c r="A1" s="377" t="s">
        <v>112</v>
      </c>
      <c r="B1" s="517" t="s">
        <v>113</v>
      </c>
      <c r="C1" s="517"/>
      <c r="D1" s="517"/>
      <c r="E1" s="517"/>
      <c r="G1" s="515" t="s">
        <v>114</v>
      </c>
      <c r="H1" s="515"/>
    </row>
    <row r="2" spans="1:14">
      <c r="G2" s="352"/>
      <c r="H2" s="353"/>
      <c r="J2" s="518" t="s">
        <v>115</v>
      </c>
      <c r="K2" s="518"/>
      <c r="L2" s="518"/>
    </row>
    <row r="3" spans="1:14" outlineLevel="1">
      <c r="B3" s="94" t="s">
        <v>27</v>
      </c>
      <c r="C3">
        <v>85</v>
      </c>
      <c r="D3" s="1">
        <f>C29/C3</f>
        <v>4981.7638823529414</v>
      </c>
      <c r="G3" s="354" t="s">
        <v>28</v>
      </c>
      <c r="H3" s="356">
        <v>436134.78</v>
      </c>
      <c r="I3" s="420" t="s">
        <v>116</v>
      </c>
      <c r="J3" s="1">
        <f>ROUND(H3*0.33,2)</f>
        <v>143924.48000000001</v>
      </c>
      <c r="K3" s="419">
        <f>ROUND(H3*0.1,2)</f>
        <v>43613.48</v>
      </c>
      <c r="L3" s="1">
        <f>J3</f>
        <v>143924.48000000001</v>
      </c>
    </row>
    <row r="4" spans="1:14" ht="17.25" customHeight="1" outlineLevel="1">
      <c r="B4" s="94" t="s">
        <v>31</v>
      </c>
      <c r="C4">
        <v>115</v>
      </c>
      <c r="G4" s="354" t="s">
        <v>32</v>
      </c>
      <c r="H4" s="355">
        <f>46737.3+2100+7638.6+17000+C27+C28</f>
        <v>82558.889999999985</v>
      </c>
      <c r="I4" s="422" t="s">
        <v>117</v>
      </c>
      <c r="J4" s="1">
        <f>H3*0.62</f>
        <v>270403.56359999999</v>
      </c>
      <c r="K4" s="419">
        <f>ROUND(H4*0.1,2)</f>
        <v>8255.89</v>
      </c>
      <c r="L4" s="1">
        <f t="shared" ref="L4:L5" si="0">J4-K4</f>
        <v>262147.67359999998</v>
      </c>
    </row>
    <row r="5" spans="1:14">
      <c r="B5" s="322" t="s">
        <v>34</v>
      </c>
      <c r="C5" s="43">
        <f>SUM(C3:C4)</f>
        <v>200</v>
      </c>
      <c r="D5" s="317">
        <f>C29/C5</f>
        <v>2117.2496499999997</v>
      </c>
      <c r="G5" s="354" t="s">
        <v>35</v>
      </c>
      <c r="H5" s="355">
        <f>(H3+H4)*0.07</f>
        <v>36308.556900000003</v>
      </c>
      <c r="I5" s="483" t="s">
        <v>118</v>
      </c>
      <c r="J5" s="484">
        <f>ROUND(H3*0.05,2)</f>
        <v>21806.74</v>
      </c>
      <c r="L5">
        <f t="shared" si="0"/>
        <v>21806.74</v>
      </c>
      <c r="N5" t="s">
        <v>119</v>
      </c>
    </row>
    <row r="6" spans="1:14" ht="16.5" customHeight="1">
      <c r="A6" s="96"/>
      <c r="B6" s="345" t="s">
        <v>37</v>
      </c>
      <c r="C6" s="371" t="s">
        <v>38</v>
      </c>
      <c r="D6" s="362" t="s">
        <v>39</v>
      </c>
      <c r="E6" s="345" t="s">
        <v>40</v>
      </c>
      <c r="G6" s="354" t="s">
        <v>41</v>
      </c>
      <c r="H6" s="355">
        <f>H3+H4-D29-H5</f>
        <v>184913.64457656452</v>
      </c>
      <c r="L6" s="1">
        <f>L5+L4+L3</f>
        <v>427878.89359999995</v>
      </c>
    </row>
    <row r="7" spans="1:14">
      <c r="A7" s="346">
        <v>1</v>
      </c>
      <c r="B7" s="97" t="s">
        <v>42</v>
      </c>
      <c r="C7" s="376">
        <f>95452.27+3015.5</f>
        <v>98467.77</v>
      </c>
      <c r="D7" s="409">
        <f>(200+56.7*15.02+92.81*14.03-1500)*1.48*1.2359+1500+(17510.73-192*50+33.89*13)*1.48*1.2359+192*50+236+9488.22*1.48*1.2359+6900+288.74+5464.96-594.29</f>
        <v>57587.883523435594</v>
      </c>
      <c r="E7" s="404">
        <f>C7-D7</f>
        <v>40879.88647656441</v>
      </c>
      <c r="H7" s="239">
        <f>(H6/(H3+H4))</f>
        <v>0.3564987492069539</v>
      </c>
      <c r="J7" s="1">
        <f>J5+J4+J3</f>
        <v>436134.78359999997</v>
      </c>
    </row>
    <row r="8" spans="1:14">
      <c r="A8" s="345">
        <f>A7+1</f>
        <v>2</v>
      </c>
      <c r="B8" s="96" t="s">
        <v>43</v>
      </c>
      <c r="C8" s="371">
        <f>85664.64+27473.8</f>
        <v>113138.44</v>
      </c>
      <c r="D8" s="402">
        <f>C38+285+1400+3310.98+527.56+510.45+3020.33+379.62+517.79+450.1+14381+283.24+18.21+214.55+1961.84+385.78+113.57+291.8+726.13+211.36+639+319.48+105.23+3898.46-305.82+4469+287.32+488.4+109.6+783+1561.95+339.15+625+326.63+1730.76+203.94+329.77+433.53+176.55+418+391.2+60.07+659.76+1302.22+690.61+43.26+43.95+524.4+83.95+1031.57+14.54+109.46+3658.9+1405-17.68-9.59-74.5+637.35+329.94+71.34+3366+1175.32+4156.07+213.01+204.69+190.45+21.1+49.28+27.35+84.85+3.29+232.59+73.15+32100+426.1+2320.99+2300.81+219.95+455+332</f>
        <v>104836.01</v>
      </c>
      <c r="E8" s="96">
        <f t="shared" ref="E8:E33" si="1">C8-D8</f>
        <v>8302.4300000000076</v>
      </c>
    </row>
    <row r="9" spans="1:14">
      <c r="A9" s="345">
        <f t="shared" ref="A9:A28" si="2">A8+1</f>
        <v>3</v>
      </c>
      <c r="B9" s="96" t="s">
        <v>45</v>
      </c>
      <c r="C9" s="378">
        <v>9800</v>
      </c>
      <c r="D9" s="363">
        <f>1702.8+1339.45+3976*2+2240+1540+4420</f>
        <v>19194.25</v>
      </c>
      <c r="E9" s="96">
        <f t="shared" si="1"/>
        <v>-9394.25</v>
      </c>
      <c r="G9" s="369" t="s">
        <v>46</v>
      </c>
      <c r="H9" s="370">
        <f>C7/C34</f>
        <v>35.645108294634774</v>
      </c>
      <c r="J9" s="49"/>
    </row>
    <row r="10" spans="1:14">
      <c r="A10" s="345">
        <f t="shared" si="2"/>
        <v>4</v>
      </c>
      <c r="B10" s="96" t="s">
        <v>47</v>
      </c>
      <c r="C10" s="378">
        <v>1025</v>
      </c>
      <c r="D10" s="363">
        <f>100.25+100.86+116.67+100.94+108.35+111.23+106.29+218.19+152.26/2+231.1/2+156.65/2</f>
        <v>1232.7849999999999</v>
      </c>
      <c r="E10" s="96">
        <f t="shared" si="1"/>
        <v>-207.78499999999985</v>
      </c>
      <c r="G10" s="371" t="s">
        <v>48</v>
      </c>
      <c r="H10" s="372">
        <f>C34/C5</f>
        <v>13.812241666666667</v>
      </c>
    </row>
    <row r="11" spans="1:14">
      <c r="A11" s="345">
        <f t="shared" si="2"/>
        <v>5</v>
      </c>
      <c r="B11" s="96" t="s">
        <v>49</v>
      </c>
      <c r="C11" s="378">
        <v>3500</v>
      </c>
      <c r="D11" s="402">
        <f>226.98+323.98+226.98+117.97+127.99+4.7+630.96+313.98+123+256.98+52.4+30.3+439.96</f>
        <v>2876.1800000000003</v>
      </c>
      <c r="E11" s="404">
        <f t="shared" si="1"/>
        <v>623.81999999999971</v>
      </c>
      <c r="G11" s="371" t="s">
        <v>50</v>
      </c>
      <c r="H11" s="378">
        <f>H9*H10</f>
        <v>492.33885000000004</v>
      </c>
    </row>
    <row r="12" spans="1:14">
      <c r="A12" s="345">
        <f t="shared" si="2"/>
        <v>6</v>
      </c>
      <c r="B12" s="96" t="s">
        <v>80</v>
      </c>
      <c r="C12" s="378">
        <v>3000</v>
      </c>
      <c r="D12" s="402">
        <f>1030+970+590+312+590+1950+390+390+18.99+380</f>
        <v>6620.99</v>
      </c>
      <c r="E12" s="404">
        <f t="shared" si="1"/>
        <v>-3620.99</v>
      </c>
    </row>
    <row r="13" spans="1:14">
      <c r="A13" s="345">
        <f t="shared" si="2"/>
        <v>7</v>
      </c>
      <c r="B13" s="96" t="s">
        <v>120</v>
      </c>
      <c r="C13" s="378"/>
      <c r="D13" s="402">
        <f>4753.47+1104.09</f>
        <v>5857.56</v>
      </c>
      <c r="E13" s="404">
        <f t="shared" si="1"/>
        <v>-5857.56</v>
      </c>
    </row>
    <row r="14" spans="1:14">
      <c r="A14" s="345">
        <f t="shared" si="2"/>
        <v>8</v>
      </c>
      <c r="B14" s="96" t="s">
        <v>121</v>
      </c>
      <c r="C14" s="378">
        <v>14272.8</v>
      </c>
      <c r="D14" s="402">
        <f>8249.3+7638+5647+300</f>
        <v>21834.3</v>
      </c>
      <c r="E14" s="404">
        <f t="shared" si="1"/>
        <v>-7561.5</v>
      </c>
    </row>
    <row r="15" spans="1:14">
      <c r="A15" s="345">
        <f t="shared" si="2"/>
        <v>9</v>
      </c>
      <c r="B15" s="96" t="s">
        <v>122</v>
      </c>
      <c r="C15" s="371">
        <v>7343.54</v>
      </c>
      <c r="D15" s="402">
        <f>5515.84+6204.64</f>
        <v>11720.48</v>
      </c>
      <c r="E15" s="96">
        <f t="shared" si="1"/>
        <v>-4376.9399999999996</v>
      </c>
    </row>
    <row r="16" spans="1:14">
      <c r="A16" s="345">
        <f t="shared" si="2"/>
        <v>10</v>
      </c>
      <c r="B16" s="96" t="s">
        <v>123</v>
      </c>
      <c r="C16" s="378">
        <v>44870.1</v>
      </c>
      <c r="D16" s="363">
        <v>43368.25</v>
      </c>
      <c r="E16" s="96">
        <f t="shared" si="1"/>
        <v>1501.8499999999985</v>
      </c>
      <c r="G16" s="366" t="s">
        <v>55</v>
      </c>
      <c r="H16" s="367">
        <f>D7/D34</f>
        <v>22.570737906215939</v>
      </c>
    </row>
    <row r="17" spans="1:10">
      <c r="A17" s="345">
        <f t="shared" si="2"/>
        <v>11</v>
      </c>
      <c r="B17" s="96" t="s">
        <v>82</v>
      </c>
      <c r="C17" s="378">
        <v>3000</v>
      </c>
      <c r="D17" s="363">
        <f>4454.12+2838.35</f>
        <v>7292.4699999999993</v>
      </c>
      <c r="E17" s="96">
        <f t="shared" si="1"/>
        <v>-4292.4699999999993</v>
      </c>
      <c r="G17" s="366" t="s">
        <v>57</v>
      </c>
      <c r="H17" s="368">
        <f>D34/C5</f>
        <v>12.757200000000001</v>
      </c>
    </row>
    <row r="18" spans="1:10">
      <c r="A18" s="345">
        <f t="shared" si="2"/>
        <v>12</v>
      </c>
      <c r="B18" s="96" t="s">
        <v>83</v>
      </c>
      <c r="C18" s="371">
        <f>5000+3000</f>
        <v>8000</v>
      </c>
      <c r="D18" s="363">
        <f>303.45+456.42+110.45+176.44+114.03+83.2+273.06+203.13+226.43+93.24+233.05+392.93+419.58+229.77+396.27+3322.14+129.86+229.77+296.37+136.53</f>
        <v>7826.12</v>
      </c>
      <c r="E18" s="96">
        <f t="shared" si="1"/>
        <v>173.88000000000011</v>
      </c>
      <c r="G18" s="366" t="s">
        <v>59</v>
      </c>
      <c r="H18" s="374">
        <f>H17*H16</f>
        <v>287.93941761717798</v>
      </c>
      <c r="J18" s="43"/>
    </row>
    <row r="19" spans="1:10">
      <c r="A19" s="345">
        <f t="shared" si="2"/>
        <v>13</v>
      </c>
      <c r="B19" s="96" t="s">
        <v>84</v>
      </c>
      <c r="C19" s="378">
        <f>35395.43+93889.4-C9-C10-C11-C12-C14-C15-C16-C17-C18</f>
        <v>34473.389999999992</v>
      </c>
      <c r="D19" s="363">
        <f>1182.65+125+308.9+89.9+24.9+180.4+4.7+4.99+206.61+149.81+33.12+33.35+34.27+33.12+40.48+64.17+411.75+33.12+143.35+779+413.73+208.4+106.26+186.3+153.84+127.65+30.46+10+98.67+39.1+2*8.97+6.29+10.11+11.62+13.33+32.43+42.73</f>
        <v>5392.4499999999989</v>
      </c>
      <c r="E19" s="96">
        <f t="shared" si="1"/>
        <v>29080.939999999995</v>
      </c>
      <c r="J19" s="43"/>
    </row>
    <row r="20" spans="1:10">
      <c r="A20" s="345">
        <f t="shared" si="2"/>
        <v>14</v>
      </c>
      <c r="B20" s="96" t="s">
        <v>85</v>
      </c>
      <c r="C20" s="378">
        <v>3927</v>
      </c>
      <c r="D20" s="363">
        <v>1831.74</v>
      </c>
      <c r="E20" s="96">
        <f t="shared" si="1"/>
        <v>2095.2600000000002</v>
      </c>
      <c r="G20" s="375" t="s">
        <v>62</v>
      </c>
      <c r="H20" s="374">
        <f>(D7+D9+D11)/D34</f>
        <v>31.220923683659262</v>
      </c>
      <c r="J20" s="379"/>
    </row>
    <row r="21" spans="1:10">
      <c r="A21" s="345">
        <f t="shared" si="2"/>
        <v>15</v>
      </c>
      <c r="B21" s="96" t="s">
        <v>86</v>
      </c>
      <c r="C21" s="378">
        <v>9260</v>
      </c>
      <c r="D21" s="363"/>
      <c r="E21" s="404">
        <f t="shared" si="1"/>
        <v>9260</v>
      </c>
      <c r="G21" s="366" t="s">
        <v>64</v>
      </c>
      <c r="H21" s="366">
        <v>31</v>
      </c>
      <c r="J21" s="379"/>
    </row>
    <row r="22" spans="1:10">
      <c r="A22" s="345">
        <f t="shared" si="2"/>
        <v>16</v>
      </c>
      <c r="B22" s="96" t="s">
        <v>87</v>
      </c>
      <c r="C22" s="378">
        <v>8234.7999999999993</v>
      </c>
      <c r="D22" s="363"/>
      <c r="E22" s="404">
        <f t="shared" si="1"/>
        <v>8234.7999999999993</v>
      </c>
      <c r="G22" s="435"/>
      <c r="H22" s="436"/>
      <c r="J22" s="379"/>
    </row>
    <row r="23" spans="1:10">
      <c r="A23" s="345">
        <f t="shared" si="2"/>
        <v>17</v>
      </c>
      <c r="B23" s="96" t="s">
        <v>88</v>
      </c>
      <c r="C23" s="378">
        <v>25315.5</v>
      </c>
      <c r="D23" s="363"/>
      <c r="E23" s="404">
        <f t="shared" si="1"/>
        <v>25315.5</v>
      </c>
      <c r="J23" s="379"/>
    </row>
    <row r="24" spans="1:10">
      <c r="A24" s="345">
        <f t="shared" si="2"/>
        <v>18</v>
      </c>
      <c r="B24" s="96" t="s">
        <v>89</v>
      </c>
      <c r="C24" s="378">
        <v>2100</v>
      </c>
      <c r="D24" s="363"/>
      <c r="E24" s="404">
        <f t="shared" si="1"/>
        <v>2100</v>
      </c>
      <c r="J24" s="379"/>
    </row>
    <row r="25" spans="1:10">
      <c r="A25" s="345">
        <f t="shared" si="2"/>
        <v>19</v>
      </c>
      <c r="B25" s="96" t="s">
        <v>124</v>
      </c>
      <c r="C25" s="378">
        <v>7638.6</v>
      </c>
      <c r="D25" s="363"/>
      <c r="E25" s="404">
        <f t="shared" si="1"/>
        <v>7638.6</v>
      </c>
      <c r="J25" s="379"/>
    </row>
    <row r="26" spans="1:10">
      <c r="A26" s="345">
        <f t="shared" si="2"/>
        <v>20</v>
      </c>
      <c r="B26" s="96" t="s">
        <v>125</v>
      </c>
      <c r="C26" s="378">
        <v>17000</v>
      </c>
      <c r="D26" s="363"/>
      <c r="E26" s="404">
        <f t="shared" si="1"/>
        <v>17000</v>
      </c>
      <c r="J26" s="379"/>
    </row>
    <row r="27" spans="1:10">
      <c r="A27" s="345">
        <f t="shared" si="2"/>
        <v>21</v>
      </c>
      <c r="B27" s="96" t="s">
        <v>126</v>
      </c>
      <c r="C27" s="496">
        <v>5638.43</v>
      </c>
      <c r="D27" s="363"/>
      <c r="E27" s="404">
        <f t="shared" si="1"/>
        <v>5638.43</v>
      </c>
      <c r="J27" s="379"/>
    </row>
    <row r="28" spans="1:10">
      <c r="A28" s="345">
        <f t="shared" si="2"/>
        <v>22</v>
      </c>
      <c r="B28" s="96" t="s">
        <v>127</v>
      </c>
      <c r="C28" s="496">
        <v>3444.56</v>
      </c>
      <c r="D28" s="363"/>
      <c r="E28" s="404">
        <f t="shared" si="1"/>
        <v>3444.56</v>
      </c>
      <c r="J28" s="379"/>
    </row>
    <row r="29" spans="1:10" ht="18.75">
      <c r="A29" s="96"/>
      <c r="B29" s="96" t="s">
        <v>66</v>
      </c>
      <c r="C29" s="371">
        <f>SUM(C7:C28)</f>
        <v>423449.93</v>
      </c>
      <c r="D29" s="402">
        <f>SUM(D7:D28)</f>
        <v>297471.46852343553</v>
      </c>
      <c r="E29" s="453">
        <f t="shared" si="1"/>
        <v>125978.46147656447</v>
      </c>
      <c r="F29" s="93"/>
      <c r="H29" s="1">
        <f>D29+H5</f>
        <v>333780.02542343555</v>
      </c>
    </row>
    <row r="30" spans="1:10" ht="15" customHeight="1">
      <c r="C30" s="452">
        <f>(H3+H4-C29)/(H3+H4)</f>
        <v>0.18362232953411606</v>
      </c>
      <c r="D30" s="43"/>
      <c r="G30" s="43"/>
      <c r="H30" s="43"/>
      <c r="I30" s="357"/>
    </row>
    <row r="31" spans="1:10">
      <c r="B31" s="96" t="s">
        <v>67</v>
      </c>
      <c r="C31" s="373">
        <f>2101.35+24.5</f>
        <v>2125.85</v>
      </c>
      <c r="D31" s="364">
        <f>28.45+28.25+45.03+47.78+1274.86+959.75-260+45.57+3</f>
        <v>2172.69</v>
      </c>
      <c r="E31" s="96">
        <f t="shared" si="1"/>
        <v>-46.840000000000146</v>
      </c>
      <c r="I31" s="357"/>
    </row>
    <row r="32" spans="1:10" ht="15" customHeight="1">
      <c r="B32" s="96" t="s">
        <v>68</v>
      </c>
      <c r="C32" s="451">
        <f>C31/6</f>
        <v>354.30833333333334</v>
      </c>
      <c r="D32" s="364">
        <f>36+15.27+62+5.48</f>
        <v>118.75</v>
      </c>
      <c r="E32" s="404">
        <f t="shared" si="1"/>
        <v>235.55833333333334</v>
      </c>
      <c r="I32" s="358"/>
    </row>
    <row r="33" spans="1:9">
      <c r="B33" s="96" t="s">
        <v>69</v>
      </c>
      <c r="C33" s="373">
        <f>34+97.8+57.5+23.99+41+28</f>
        <v>282.29000000000002</v>
      </c>
      <c r="D33" s="291">
        <v>260</v>
      </c>
      <c r="E33" s="404">
        <f t="shared" si="1"/>
        <v>22.29000000000002</v>
      </c>
      <c r="G33" s="359"/>
      <c r="H33" s="359"/>
      <c r="I33" s="359"/>
    </row>
    <row r="34" spans="1:9" ht="18.75">
      <c r="B34" s="96" t="s">
        <v>66</v>
      </c>
      <c r="C34" s="451">
        <f>SUM(C31:C33)</f>
        <v>2762.4483333333333</v>
      </c>
      <c r="D34" s="364">
        <f t="shared" ref="D34:E34" si="3">SUM(D31:D33)</f>
        <v>2551.44</v>
      </c>
      <c r="E34" s="453">
        <f>SUM(E31:E33)</f>
        <v>211.00833333333321</v>
      </c>
      <c r="G34" s="360"/>
      <c r="H34" s="360"/>
      <c r="I34" s="360"/>
    </row>
    <row r="35" spans="1:9">
      <c r="A35" s="140"/>
      <c r="B35" s="272"/>
      <c r="C35" s="240"/>
      <c r="G35" s="360"/>
      <c r="H35" s="361"/>
      <c r="I35" s="361"/>
    </row>
    <row r="36" spans="1:9">
      <c r="A36" s="141"/>
      <c r="G36" s="43"/>
      <c r="H36" s="43"/>
      <c r="I36" s="43"/>
    </row>
    <row r="37" spans="1:9" ht="24.75" customHeight="1">
      <c r="G37" s="43"/>
      <c r="H37" s="43"/>
      <c r="I37" s="43"/>
    </row>
    <row r="38" spans="1:9">
      <c r="A38" t="s">
        <v>70</v>
      </c>
      <c r="C38" s="328"/>
    </row>
    <row r="43" spans="1:9">
      <c r="C43" s="1"/>
    </row>
    <row r="45" spans="1:9">
      <c r="A45" s="341"/>
      <c r="B45" s="341"/>
      <c r="C45" s="341"/>
    </row>
    <row r="46" spans="1:9">
      <c r="A46" s="471"/>
    </row>
    <row r="53" spans="1:2">
      <c r="A53" s="95" t="s">
        <v>128</v>
      </c>
      <c r="B53" s="111">
        <f>3888+208.1+2470+318+700+3041.75</f>
        <v>10625.85</v>
      </c>
    </row>
    <row r="54" spans="1:2">
      <c r="A54" t="s">
        <v>129</v>
      </c>
      <c r="B54">
        <v>1510</v>
      </c>
    </row>
    <row r="55" spans="1:2">
      <c r="A55" t="s">
        <v>130</v>
      </c>
      <c r="B55">
        <v>70.89</v>
      </c>
    </row>
    <row r="56" spans="1:2">
      <c r="A56" t="s">
        <v>131</v>
      </c>
      <c r="B56" s="1">
        <f>231.23+102.59/3</f>
        <v>265.42666666666668</v>
      </c>
    </row>
    <row r="57" spans="1:2">
      <c r="A57" t="s">
        <v>132</v>
      </c>
      <c r="B57" s="1">
        <v>1035.6400000000001</v>
      </c>
    </row>
    <row r="58" spans="1:2">
      <c r="A58" t="s">
        <v>133</v>
      </c>
      <c r="B58">
        <v>33.83</v>
      </c>
    </row>
    <row r="59" spans="1:2">
      <c r="A59" t="s">
        <v>134</v>
      </c>
      <c r="B59">
        <f>46.66+1.29</f>
        <v>47.949999999999996</v>
      </c>
    </row>
    <row r="60" spans="1:2">
      <c r="A60" t="s">
        <v>135</v>
      </c>
      <c r="B60">
        <v>20.75</v>
      </c>
    </row>
    <row r="61" spans="1:2">
      <c r="A61" t="s">
        <v>136</v>
      </c>
      <c r="B61">
        <f>1620+675+350</f>
        <v>2645</v>
      </c>
    </row>
    <row r="62" spans="1:2">
      <c r="A62" t="s">
        <v>137</v>
      </c>
      <c r="B62" s="1">
        <f>B53*0.07</f>
        <v>743.80950000000007</v>
      </c>
    </row>
    <row r="63" spans="1:2">
      <c r="A63" t="s">
        <v>138</v>
      </c>
      <c r="B63" s="1">
        <v>84.55</v>
      </c>
    </row>
    <row r="64" spans="1:2">
      <c r="A64" t="s">
        <v>139</v>
      </c>
      <c r="B64" s="1">
        <v>705.99</v>
      </c>
    </row>
    <row r="65" spans="2:2">
      <c r="B65" s="111">
        <f>B53-B54-B55-B56-B57-B58-B59-B60-B62-B61-B63-B64</f>
        <v>3462.0138333333343</v>
      </c>
    </row>
  </sheetData>
  <mergeCells count="3">
    <mergeCell ref="B1:E1"/>
    <mergeCell ref="G1:H1"/>
    <mergeCell ref="J2:L2"/>
  </mergeCells>
  <conditionalFormatting sqref="H16">
    <cfRule type="cellIs" dxfId="115" priority="5" operator="greaterThan">
      <formula>$H$9</formula>
    </cfRule>
  </conditionalFormatting>
  <conditionalFormatting sqref="H2">
    <cfRule type="cellIs" dxfId="114" priority="6" operator="greaterThan">
      <formula>#REF!</formula>
    </cfRule>
  </conditionalFormatting>
  <conditionalFormatting sqref="E7:E29">
    <cfRule type="cellIs" dxfId="113" priority="4" operator="lessThan">
      <formula>0</formula>
    </cfRule>
  </conditionalFormatting>
  <conditionalFormatting sqref="E31:E34">
    <cfRule type="cellIs" dxfId="112" priority="3" operator="lessThan">
      <formula>0</formula>
    </cfRule>
  </conditionalFormatting>
  <conditionalFormatting sqref="H17">
    <cfRule type="cellIs" dxfId="111" priority="7" operator="greaterThan">
      <formula>$H$10</formula>
    </cfRule>
  </conditionalFormatting>
  <conditionalFormatting sqref="H16">
    <cfRule type="cellIs" dxfId="110" priority="2" operator="greaterThan">
      <formula>$H$9</formula>
    </cfRule>
  </conditionalFormatting>
  <conditionalFormatting sqref="H18">
    <cfRule type="cellIs" dxfId="109" priority="1" operator="greaterThan">
      <formula>$H$11</formula>
    </cfRule>
  </conditionalFormatting>
  <pageMargins left="0.7" right="0.7" top="0.75" bottom="0.75" header="0.3" footer="0.3"/>
  <pageSetup paperSize="9" orientation="landscape"/>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10A4AA-4899-4F0A-AD2A-E57FAFA84733}">
  <sheetPr>
    <tabColor rgb="FF92D050"/>
    <pageSetUpPr fitToPage="1"/>
  </sheetPr>
  <dimension ref="A1:J29"/>
  <sheetViews>
    <sheetView workbookViewId="0">
      <selection activeCell="H21" sqref="H21"/>
    </sheetView>
  </sheetViews>
  <sheetFormatPr defaultRowHeight="15" outlineLevelRow="1"/>
  <cols>
    <col min="1" max="1" width="10" bestFit="1" customWidth="1"/>
    <col min="2" max="2" width="30.140625" bestFit="1" customWidth="1"/>
    <col min="3" max="3" width="14.85546875" customWidth="1"/>
    <col min="4" max="5" width="10.7109375" customWidth="1"/>
    <col min="6" max="6" width="7.140625" customWidth="1"/>
    <col min="7" max="7" width="35.7109375" customWidth="1"/>
    <col min="8" max="8" width="23.42578125" customWidth="1"/>
    <col min="9" max="9" width="15" customWidth="1"/>
    <col min="10" max="10" width="12.7109375" customWidth="1"/>
  </cols>
  <sheetData>
    <row r="1" spans="1:10" s="387" customFormat="1" ht="18.75">
      <c r="A1" s="377" t="s">
        <v>140</v>
      </c>
      <c r="B1" s="517" t="s">
        <v>141</v>
      </c>
      <c r="C1" s="517"/>
      <c r="D1" s="517"/>
      <c r="E1" s="517"/>
      <c r="G1" s="515" t="s">
        <v>142</v>
      </c>
      <c r="H1" s="515"/>
    </row>
    <row r="2" spans="1:10">
      <c r="G2" s="352"/>
      <c r="H2" s="353"/>
    </row>
    <row r="3" spans="1:10" ht="18.75" outlineLevel="1">
      <c r="B3" s="94" t="s">
        <v>27</v>
      </c>
      <c r="C3">
        <v>100</v>
      </c>
      <c r="D3" s="1">
        <f>C20/C3</f>
        <v>182.23</v>
      </c>
      <c r="G3" s="354" t="s">
        <v>28</v>
      </c>
      <c r="H3" s="356">
        <v>23000</v>
      </c>
      <c r="I3" s="351"/>
    </row>
    <row r="4" spans="1:10" ht="17.25" customHeight="1" outlineLevel="1">
      <c r="B4" s="94" t="s">
        <v>31</v>
      </c>
      <c r="G4" s="354" t="s">
        <v>32</v>
      </c>
      <c r="H4" s="355"/>
      <c r="I4" s="320"/>
    </row>
    <row r="5" spans="1:10">
      <c r="B5" s="322" t="s">
        <v>34</v>
      </c>
      <c r="C5" s="43">
        <f>SUM(C3:C4)</f>
        <v>100</v>
      </c>
      <c r="D5" s="317">
        <f>C20/C5</f>
        <v>182.23</v>
      </c>
      <c r="G5" s="354" t="s">
        <v>35</v>
      </c>
      <c r="H5" s="355">
        <f>(H3+H4)*0.07</f>
        <v>1610.0000000000002</v>
      </c>
    </row>
    <row r="6" spans="1:10" ht="16.5" customHeight="1">
      <c r="A6" s="96"/>
      <c r="B6" s="345" t="s">
        <v>37</v>
      </c>
      <c r="C6" s="371" t="s">
        <v>38</v>
      </c>
      <c r="D6" s="362" t="s">
        <v>39</v>
      </c>
      <c r="E6" s="345" t="s">
        <v>40</v>
      </c>
      <c r="G6" s="354" t="s">
        <v>41</v>
      </c>
      <c r="H6" s="355">
        <f>H3+H4-D20-H5</f>
        <v>9434.8141470627997</v>
      </c>
    </row>
    <row r="7" spans="1:10">
      <c r="A7" s="346">
        <v>1</v>
      </c>
      <c r="B7" s="97" t="s">
        <v>42</v>
      </c>
      <c r="C7" s="376">
        <v>9728</v>
      </c>
      <c r="D7" s="409">
        <f>(271.07*15.03-35*50)*1.48*1.2359+35*50+1207.67</f>
        <v>7208.9058529371996</v>
      </c>
      <c r="E7" s="96">
        <f>C7-D7</f>
        <v>2519.0941470628004</v>
      </c>
      <c r="H7" s="239">
        <f>H6/(H3+H4)</f>
        <v>0.41020931074186084</v>
      </c>
    </row>
    <row r="8" spans="1:10">
      <c r="A8" s="345">
        <f>A7+1</f>
        <v>2</v>
      </c>
      <c r="B8" s="96" t="s">
        <v>43</v>
      </c>
      <c r="C8" s="371">
        <v>3295</v>
      </c>
      <c r="D8" s="363">
        <f>C29+1981.64+120.2</f>
        <v>2101.84</v>
      </c>
      <c r="E8" s="96">
        <f t="shared" ref="E8:E23" si="0">C8-D8</f>
        <v>1193.1599999999999</v>
      </c>
    </row>
    <row r="9" spans="1:10">
      <c r="A9" s="345">
        <f t="shared" ref="A9:A19" si="1">A8+1</f>
        <v>3</v>
      </c>
      <c r="B9" s="96" t="s">
        <v>45</v>
      </c>
      <c r="C9" s="371">
        <v>2000</v>
      </c>
      <c r="D9" s="363">
        <f>1349+242</f>
        <v>1591</v>
      </c>
      <c r="E9" s="96">
        <f t="shared" si="0"/>
        <v>409</v>
      </c>
      <c r="G9" s="369" t="s">
        <v>46</v>
      </c>
      <c r="H9" s="370">
        <f>C7/C25</f>
        <v>32</v>
      </c>
      <c r="J9" s="49"/>
    </row>
    <row r="10" spans="1:10">
      <c r="A10" s="345">
        <f t="shared" si="1"/>
        <v>4</v>
      </c>
      <c r="B10" s="96" t="s">
        <v>47</v>
      </c>
      <c r="C10" s="371">
        <v>650</v>
      </c>
      <c r="D10" s="363">
        <v>226.49</v>
      </c>
      <c r="E10" s="96">
        <f t="shared" si="0"/>
        <v>423.51</v>
      </c>
      <c r="G10" s="371" t="s">
        <v>48</v>
      </c>
      <c r="H10" s="372">
        <f>C25/C5</f>
        <v>3.04</v>
      </c>
    </row>
    <row r="11" spans="1:10">
      <c r="A11" s="345">
        <f t="shared" si="1"/>
        <v>5</v>
      </c>
      <c r="B11" s="96" t="s">
        <v>49</v>
      </c>
      <c r="C11" s="371">
        <v>1000</v>
      </c>
      <c r="D11" s="363">
        <f>117.99+152.47+119+150.39</f>
        <v>539.84999999999991</v>
      </c>
      <c r="E11" s="96">
        <f t="shared" si="0"/>
        <v>460.15000000000009</v>
      </c>
      <c r="G11" s="371" t="s">
        <v>50</v>
      </c>
      <c r="H11" s="371">
        <f>H9*H10</f>
        <v>97.28</v>
      </c>
    </row>
    <row r="12" spans="1:10">
      <c r="A12" s="345">
        <f t="shared" si="1"/>
        <v>6</v>
      </c>
      <c r="B12" s="96" t="s">
        <v>80</v>
      </c>
      <c r="C12" s="371">
        <v>100</v>
      </c>
      <c r="D12" s="363"/>
      <c r="E12" s="96">
        <f t="shared" si="0"/>
        <v>100</v>
      </c>
    </row>
    <row r="13" spans="1:10">
      <c r="A13" s="345">
        <f t="shared" si="1"/>
        <v>7</v>
      </c>
      <c r="B13" s="96" t="s">
        <v>104</v>
      </c>
      <c r="C13" s="371">
        <v>0</v>
      </c>
      <c r="D13" s="363"/>
      <c r="E13" s="96">
        <f t="shared" si="0"/>
        <v>0</v>
      </c>
      <c r="G13" s="366" t="s">
        <v>55</v>
      </c>
      <c r="H13" s="367">
        <f>D7/D25</f>
        <v>26.601128608624354</v>
      </c>
    </row>
    <row r="14" spans="1:10">
      <c r="A14" s="345">
        <f t="shared" si="1"/>
        <v>8</v>
      </c>
      <c r="B14" s="96" t="s">
        <v>82</v>
      </c>
      <c r="C14" s="371">
        <v>0</v>
      </c>
      <c r="D14" s="363"/>
      <c r="E14" s="96">
        <f t="shared" si="0"/>
        <v>0</v>
      </c>
      <c r="G14" s="366" t="s">
        <v>57</v>
      </c>
      <c r="H14" s="368">
        <f>D25/C5</f>
        <v>2.71</v>
      </c>
    </row>
    <row r="15" spans="1:10">
      <c r="A15" s="345">
        <f t="shared" si="1"/>
        <v>9</v>
      </c>
      <c r="B15" s="96" t="s">
        <v>83</v>
      </c>
      <c r="C15" s="371">
        <v>720</v>
      </c>
      <c r="D15" s="363"/>
      <c r="E15" s="96">
        <f t="shared" si="0"/>
        <v>720</v>
      </c>
      <c r="G15" s="366" t="s">
        <v>59</v>
      </c>
      <c r="H15" s="374">
        <f>H14*H13</f>
        <v>72.089058529371997</v>
      </c>
    </row>
    <row r="16" spans="1:10">
      <c r="A16" s="345">
        <f t="shared" si="1"/>
        <v>10</v>
      </c>
      <c r="B16" s="96" t="s">
        <v>84</v>
      </c>
      <c r="C16" s="371">
        <f>5200-C9-C10-C11-C12-C15</f>
        <v>730</v>
      </c>
      <c r="D16" s="363">
        <f>90+31.1+40+1+125</f>
        <v>287.10000000000002</v>
      </c>
      <c r="E16" s="96">
        <f t="shared" si="0"/>
        <v>442.9</v>
      </c>
    </row>
    <row r="17" spans="1:9">
      <c r="A17" s="345">
        <f t="shared" si="1"/>
        <v>11</v>
      </c>
      <c r="B17" s="96" t="s">
        <v>85</v>
      </c>
      <c r="C17" s="371"/>
      <c r="D17" s="363"/>
      <c r="E17" s="96">
        <f t="shared" si="0"/>
        <v>0</v>
      </c>
      <c r="G17" s="375" t="s">
        <v>62</v>
      </c>
      <c r="H17" s="374">
        <f>(D7+D9+D11)/D25</f>
        <v>34.464043737775647</v>
      </c>
    </row>
    <row r="18" spans="1:9">
      <c r="A18" s="345">
        <f t="shared" si="1"/>
        <v>12</v>
      </c>
      <c r="B18" s="96" t="s">
        <v>86</v>
      </c>
      <c r="C18" s="371"/>
      <c r="D18" s="363"/>
      <c r="E18" s="96">
        <f t="shared" si="0"/>
        <v>0</v>
      </c>
      <c r="G18" s="366" t="s">
        <v>64</v>
      </c>
      <c r="H18" s="423">
        <f>1329/4/10</f>
        <v>33.225000000000001</v>
      </c>
    </row>
    <row r="19" spans="1:9">
      <c r="A19" s="345">
        <f t="shared" si="1"/>
        <v>13</v>
      </c>
      <c r="B19" s="96"/>
      <c r="C19" s="371"/>
      <c r="D19" s="363"/>
      <c r="E19" s="96">
        <f t="shared" si="0"/>
        <v>0</v>
      </c>
    </row>
    <row r="20" spans="1:9" ht="18.75">
      <c r="A20" s="96"/>
      <c r="B20" s="96" t="s">
        <v>66</v>
      </c>
      <c r="C20" s="373">
        <f>SUM(C7:C19)</f>
        <v>18223</v>
      </c>
      <c r="D20" s="363">
        <f>SUM(D7:D19)</f>
        <v>11955.1858529372</v>
      </c>
      <c r="E20" s="347">
        <f t="shared" si="0"/>
        <v>6267.8141470627997</v>
      </c>
      <c r="F20" s="93"/>
      <c r="H20" s="1">
        <f>D20+H5</f>
        <v>13565.1858529372</v>
      </c>
    </row>
    <row r="21" spans="1:9" ht="15" customHeight="1">
      <c r="C21" s="452">
        <f>(H3-C20)/H3</f>
        <v>0.20769565217391303</v>
      </c>
      <c r="D21" s="43"/>
      <c r="G21" s="43"/>
      <c r="H21" s="43"/>
      <c r="I21" s="357"/>
    </row>
    <row r="22" spans="1:9">
      <c r="B22" s="96" t="s">
        <v>67</v>
      </c>
      <c r="C22" s="373">
        <v>228</v>
      </c>
      <c r="D22" s="364">
        <v>191</v>
      </c>
      <c r="E22" s="96">
        <f t="shared" si="0"/>
        <v>37</v>
      </c>
      <c r="I22" s="357"/>
    </row>
    <row r="23" spans="1:9" ht="15" customHeight="1">
      <c r="B23" s="96" t="s">
        <v>68</v>
      </c>
      <c r="C23" s="373">
        <v>76</v>
      </c>
      <c r="D23" s="364">
        <v>80</v>
      </c>
      <c r="E23" s="96">
        <f t="shared" si="0"/>
        <v>-4</v>
      </c>
      <c r="I23" s="358"/>
    </row>
    <row r="24" spans="1:9">
      <c r="B24" s="96" t="s">
        <v>69</v>
      </c>
      <c r="C24" s="373"/>
      <c r="D24" s="364"/>
      <c r="E24" s="96"/>
      <c r="G24" s="359"/>
      <c r="H24" s="359"/>
      <c r="I24" s="359"/>
    </row>
    <row r="25" spans="1:9" ht="18.75">
      <c r="B25" s="96" t="s">
        <v>66</v>
      </c>
      <c r="C25" s="373">
        <f>SUM(C22:C24)</f>
        <v>304</v>
      </c>
      <c r="D25" s="364">
        <f t="shared" ref="D25:E25" si="2">SUM(D22:D24)</f>
        <v>271</v>
      </c>
      <c r="E25" s="347">
        <f t="shared" si="2"/>
        <v>33</v>
      </c>
      <c r="G25" s="360"/>
      <c r="H25" s="360"/>
      <c r="I25" s="360"/>
    </row>
    <row r="26" spans="1:9">
      <c r="A26" s="140"/>
      <c r="B26" s="272"/>
      <c r="C26" s="240"/>
      <c r="G26" s="360"/>
      <c r="H26" s="361"/>
      <c r="I26" s="361"/>
    </row>
    <row r="27" spans="1:9">
      <c r="A27" s="141"/>
      <c r="G27" s="43"/>
      <c r="H27" s="43"/>
      <c r="I27" s="43"/>
    </row>
    <row r="28" spans="1:9" ht="24.75" customHeight="1">
      <c r="G28" s="43"/>
      <c r="H28" s="43"/>
      <c r="I28" s="43"/>
    </row>
    <row r="29" spans="1:9">
      <c r="A29" t="s">
        <v>70</v>
      </c>
      <c r="C29" s="328"/>
    </row>
  </sheetData>
  <mergeCells count="2">
    <mergeCell ref="B1:E1"/>
    <mergeCell ref="G1:H1"/>
  </mergeCells>
  <conditionalFormatting sqref="H13">
    <cfRule type="cellIs" dxfId="108" priority="5" operator="greaterThan">
      <formula>$H$9</formula>
    </cfRule>
  </conditionalFormatting>
  <conditionalFormatting sqref="H2">
    <cfRule type="cellIs" dxfId="107" priority="6" operator="greaterThan">
      <formula>#REF!</formula>
    </cfRule>
  </conditionalFormatting>
  <conditionalFormatting sqref="E7:E20">
    <cfRule type="cellIs" dxfId="106" priority="4" operator="lessThan">
      <formula>0</formula>
    </cfRule>
  </conditionalFormatting>
  <conditionalFormatting sqref="E22:E25">
    <cfRule type="cellIs" dxfId="105" priority="3" operator="lessThan">
      <formula>0</formula>
    </cfRule>
  </conditionalFormatting>
  <conditionalFormatting sqref="H14">
    <cfRule type="cellIs" dxfId="104" priority="7" operator="greaterThan">
      <formula>$H$10</formula>
    </cfRule>
  </conditionalFormatting>
  <conditionalFormatting sqref="H13">
    <cfRule type="cellIs" dxfId="103" priority="2" operator="greaterThan">
      <formula>$H$9</formula>
    </cfRule>
  </conditionalFormatting>
  <conditionalFormatting sqref="H15">
    <cfRule type="cellIs" dxfId="102" priority="1" operator="greaterThan">
      <formula>$H$11</formula>
    </cfRule>
  </conditionalFormatting>
  <pageMargins left="0.7" right="0.7" top="0.75" bottom="0.75" header="0.3" footer="0.3"/>
  <pageSetup paperSize="9" orientation="landscape"/>
  <legacy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3D04F-3313-4DAD-B9EC-F388BDADC310}">
  <sheetPr>
    <tabColor rgb="FF92D050"/>
    <pageSetUpPr fitToPage="1"/>
  </sheetPr>
  <dimension ref="A1:J34"/>
  <sheetViews>
    <sheetView workbookViewId="0">
      <selection activeCell="D9" sqref="D9"/>
    </sheetView>
  </sheetViews>
  <sheetFormatPr defaultRowHeight="15" outlineLevelRow="1"/>
  <cols>
    <col min="1" max="1" width="10" bestFit="1" customWidth="1"/>
    <col min="2" max="2" width="30.140625" bestFit="1" customWidth="1"/>
    <col min="3" max="3" width="14.85546875" customWidth="1"/>
    <col min="4" max="4" width="10.7109375" customWidth="1"/>
    <col min="5" max="5" width="12.7109375" customWidth="1"/>
    <col min="6" max="6" width="7.140625" customWidth="1"/>
    <col min="7" max="7" width="35.7109375" customWidth="1"/>
    <col min="8" max="8" width="23.42578125" customWidth="1"/>
    <col min="9" max="9" width="15" customWidth="1"/>
    <col min="10" max="10" width="12.7109375" customWidth="1"/>
  </cols>
  <sheetData>
    <row r="1" spans="1:10" s="387" customFormat="1" ht="33" customHeight="1">
      <c r="A1" s="434" t="s">
        <v>143</v>
      </c>
      <c r="B1" s="515" t="s">
        <v>144</v>
      </c>
      <c r="C1" s="515"/>
      <c r="D1" s="515"/>
      <c r="E1" s="515"/>
      <c r="G1" s="515" t="s">
        <v>145</v>
      </c>
      <c r="H1" s="515"/>
    </row>
    <row r="2" spans="1:10">
      <c r="G2" s="352"/>
      <c r="H2" s="353"/>
      <c r="I2" s="181" t="s">
        <v>146</v>
      </c>
    </row>
    <row r="3" spans="1:10" outlineLevel="1">
      <c r="B3" s="94" t="s">
        <v>27</v>
      </c>
      <c r="C3">
        <v>108.1</v>
      </c>
      <c r="D3" s="1">
        <f>C21/C3</f>
        <v>1065.5112858464386</v>
      </c>
      <c r="G3" s="354" t="s">
        <v>28</v>
      </c>
      <c r="H3" s="356">
        <v>140000</v>
      </c>
      <c r="I3" s="356">
        <v>140000</v>
      </c>
    </row>
    <row r="4" spans="1:10" ht="17.25" customHeight="1" outlineLevel="1">
      <c r="B4" s="94" t="s">
        <v>31</v>
      </c>
      <c r="C4">
        <v>42.74</v>
      </c>
      <c r="G4" s="354" t="s">
        <v>32</v>
      </c>
      <c r="H4" s="355">
        <f>C18</f>
        <v>2161.77</v>
      </c>
      <c r="I4" s="355">
        <f>110208.17-I5</f>
        <v>100408.17</v>
      </c>
    </row>
    <row r="5" spans="1:10">
      <c r="B5" s="322" t="s">
        <v>34</v>
      </c>
      <c r="C5" s="43">
        <f>SUM(C3:C4)</f>
        <v>150.84</v>
      </c>
      <c r="D5" s="317">
        <f>C21/C5</f>
        <v>763.60229382126761</v>
      </c>
      <c r="G5" s="354" t="s">
        <v>35</v>
      </c>
      <c r="H5" s="355">
        <f>(H3+H4)*0.07</f>
        <v>9951.3238999999994</v>
      </c>
      <c r="I5" s="355">
        <f>I3*0.07</f>
        <v>9800.0000000000018</v>
      </c>
    </row>
    <row r="6" spans="1:10" ht="16.5" customHeight="1">
      <c r="A6" s="96"/>
      <c r="B6" s="345" t="s">
        <v>37</v>
      </c>
      <c r="C6" s="371" t="s">
        <v>38</v>
      </c>
      <c r="D6" s="362" t="s">
        <v>39</v>
      </c>
      <c r="E6" s="345" t="s">
        <v>40</v>
      </c>
      <c r="G6" s="354" t="s">
        <v>41</v>
      </c>
      <c r="H6" s="355">
        <f>H3+H4-D21-H5</f>
        <v>24233.811476585997</v>
      </c>
      <c r="I6" s="355">
        <f>I3-I4-I5</f>
        <v>29791.83</v>
      </c>
    </row>
    <row r="7" spans="1:10">
      <c r="A7" s="346">
        <v>1</v>
      </c>
      <c r="B7" s="97" t="s">
        <v>42</v>
      </c>
      <c r="C7" s="454">
        <v>42073</v>
      </c>
      <c r="D7" s="409">
        <f>(67.05*15.02+30.95*14+9.06*7+23.96*7.5-20*50)*1.48*1.2359+20*50+(479.13*14.03+877.98*15.02-8150+6*7.5+272)*1.48*1.2359+8150+337.16+401.8*1.48*1.2359+500+3709.2</f>
        <v>37770.964623414002</v>
      </c>
      <c r="E7" s="404">
        <f>C7-D7</f>
        <v>4302.0353765859982</v>
      </c>
      <c r="F7" s="93">
        <f>D7/(H3+H4)</f>
        <v>0.26569002780011819</v>
      </c>
      <c r="H7" s="239">
        <f>H6/(H3+H4)</f>
        <v>0.17046644450604406</v>
      </c>
      <c r="I7" s="239">
        <f>I6/I3</f>
        <v>0.21279878571428573</v>
      </c>
    </row>
    <row r="8" spans="1:10">
      <c r="A8" s="345">
        <f>A7+1</f>
        <v>2</v>
      </c>
      <c r="B8" s="96" t="s">
        <v>43</v>
      </c>
      <c r="C8" s="378">
        <f>29913-13233</f>
        <v>16680</v>
      </c>
      <c r="D8" s="363">
        <f>C30+3404.31+302.4+286.27+604.93+550+2252.45+960.85+1366.72+1008.5+227.78+1541.31+1223.58+815.45+2356.19+118.73+440</f>
        <v>17459.469999999998</v>
      </c>
      <c r="E8" s="96">
        <f t="shared" ref="E8:E24" si="0">C8-D8</f>
        <v>-779.46999999999753</v>
      </c>
    </row>
    <row r="9" spans="1:10">
      <c r="A9" s="345">
        <f t="shared" ref="A9:A20" si="1">A8+1</f>
        <v>3</v>
      </c>
      <c r="B9" s="96" t="s">
        <v>45</v>
      </c>
      <c r="C9" s="378">
        <v>4950</v>
      </c>
      <c r="D9" s="402">
        <v>6264.6</v>
      </c>
      <c r="E9" s="404">
        <f t="shared" si="0"/>
        <v>-1314.6000000000004</v>
      </c>
      <c r="G9" s="369" t="s">
        <v>46</v>
      </c>
      <c r="H9" s="370">
        <f>C7/C26</f>
        <v>26.361528822055138</v>
      </c>
      <c r="J9" s="49"/>
    </row>
    <row r="10" spans="1:10">
      <c r="A10" s="345">
        <f t="shared" si="1"/>
        <v>4</v>
      </c>
      <c r="B10" s="96" t="s">
        <v>47</v>
      </c>
      <c r="C10" s="378">
        <v>450</v>
      </c>
      <c r="D10" s="402">
        <v>170.9</v>
      </c>
      <c r="E10" s="404">
        <f t="shared" si="0"/>
        <v>279.10000000000002</v>
      </c>
      <c r="G10" s="371" t="s">
        <v>48</v>
      </c>
      <c r="H10" s="372">
        <f>C26/C5</f>
        <v>10.580747812251392</v>
      </c>
    </row>
    <row r="11" spans="1:10">
      <c r="A11" s="345">
        <f t="shared" si="1"/>
        <v>5</v>
      </c>
      <c r="B11" s="96" t="s">
        <v>49</v>
      </c>
      <c r="C11" s="378">
        <v>1200</v>
      </c>
      <c r="D11" s="363">
        <f>387.96+38.95+369.28+318.22+1516.44+63.38/2</f>
        <v>2662.54</v>
      </c>
      <c r="E11" s="96">
        <f t="shared" si="0"/>
        <v>-1462.54</v>
      </c>
      <c r="G11" s="371" t="s">
        <v>50</v>
      </c>
      <c r="H11" s="378">
        <f>C21/C5</f>
        <v>763.60229382126761</v>
      </c>
    </row>
    <row r="12" spans="1:10">
      <c r="A12" s="345">
        <f t="shared" si="1"/>
        <v>6</v>
      </c>
      <c r="B12" s="96" t="s">
        <v>80</v>
      </c>
      <c r="C12" s="378">
        <v>1000</v>
      </c>
      <c r="D12" s="402">
        <f>1570+430</f>
        <v>2000</v>
      </c>
      <c r="E12" s="404">
        <f t="shared" si="0"/>
        <v>-1000</v>
      </c>
    </row>
    <row r="13" spans="1:10">
      <c r="A13" s="345">
        <f t="shared" si="1"/>
        <v>7</v>
      </c>
      <c r="B13" s="96" t="s">
        <v>104</v>
      </c>
      <c r="C13" s="378">
        <v>16431</v>
      </c>
      <c r="D13" s="402">
        <f>14222.23+3298.71</f>
        <v>17520.939999999999</v>
      </c>
      <c r="E13" s="96">
        <f t="shared" si="0"/>
        <v>-1089.9399999999987</v>
      </c>
      <c r="G13" s="366" t="s">
        <v>55</v>
      </c>
      <c r="H13" s="367">
        <f>D7/D26</f>
        <v>25.159844277673127</v>
      </c>
    </row>
    <row r="14" spans="1:10">
      <c r="A14" s="345">
        <f t="shared" si="1"/>
        <v>8</v>
      </c>
      <c r="B14" s="96" t="s">
        <v>82</v>
      </c>
      <c r="C14" s="378">
        <v>1500</v>
      </c>
      <c r="D14" s="363">
        <f>1415</f>
        <v>1415</v>
      </c>
      <c r="E14" s="96">
        <f t="shared" si="0"/>
        <v>85</v>
      </c>
      <c r="G14" s="366" t="s">
        <v>57</v>
      </c>
      <c r="H14" s="368">
        <f>D26/C5</f>
        <v>9.9525324847520533</v>
      </c>
    </row>
    <row r="15" spans="1:10">
      <c r="A15" s="345"/>
      <c r="B15" s="96" t="s">
        <v>147</v>
      </c>
      <c r="C15" s="378">
        <v>20000</v>
      </c>
      <c r="D15" s="402">
        <v>20000</v>
      </c>
      <c r="E15" s="96">
        <f t="shared" si="0"/>
        <v>0</v>
      </c>
      <c r="G15" s="366"/>
      <c r="H15" s="368"/>
    </row>
    <row r="16" spans="1:10">
      <c r="A16" s="345">
        <f>A14+1</f>
        <v>9</v>
      </c>
      <c r="B16" s="96" t="s">
        <v>83</v>
      </c>
      <c r="C16" s="378">
        <v>5370</v>
      </c>
      <c r="D16" s="402">
        <f>51.1+115.5+348+69.3+23.1+43+46.2+44.6+23.1+69.3</f>
        <v>833.2</v>
      </c>
      <c r="E16" s="404">
        <f t="shared" si="0"/>
        <v>4536.8</v>
      </c>
      <c r="G16" s="366" t="s">
        <v>59</v>
      </c>
      <c r="H16" s="374">
        <f>D21/C5</f>
        <v>715.83555173305479</v>
      </c>
    </row>
    <row r="17" spans="1:9">
      <c r="A17" s="345">
        <f t="shared" si="1"/>
        <v>10</v>
      </c>
      <c r="B17" s="96" t="s">
        <v>84</v>
      </c>
      <c r="C17" s="378">
        <f>41086-C9-C10-C11-C12-C13-C14-C16-6819</f>
        <v>3366</v>
      </c>
      <c r="D17" s="363">
        <f>411.59+235+175.28+125+44.59+11.48+15+193.45+11.55+101.48+20+142.26+332.83-91.1+150.61</f>
        <v>1879.02</v>
      </c>
      <c r="E17" s="96">
        <f t="shared" si="0"/>
        <v>1486.98</v>
      </c>
    </row>
    <row r="18" spans="1:9">
      <c r="A18" s="345">
        <f t="shared" si="1"/>
        <v>11</v>
      </c>
      <c r="B18" s="96" t="s">
        <v>85</v>
      </c>
      <c r="C18" s="378">
        <v>2161.77</v>
      </c>
      <c r="D18" s="363"/>
      <c r="E18" s="96">
        <f>C18-D18</f>
        <v>2161.77</v>
      </c>
      <c r="G18" s="375" t="s">
        <v>62</v>
      </c>
      <c r="H18" s="374">
        <f>(D7+D9+D11)/D26</f>
        <v>31.106355162008743</v>
      </c>
    </row>
    <row r="19" spans="1:9">
      <c r="A19" s="345">
        <f t="shared" si="1"/>
        <v>12</v>
      </c>
      <c r="B19" s="96" t="s">
        <v>86</v>
      </c>
      <c r="C19" s="378"/>
      <c r="D19" s="363"/>
      <c r="E19" s="96">
        <f>C19-D19</f>
        <v>0</v>
      </c>
      <c r="G19" s="366" t="s">
        <v>64</v>
      </c>
      <c r="H19" s="374">
        <v>34</v>
      </c>
    </row>
    <row r="20" spans="1:9">
      <c r="A20" s="345">
        <f t="shared" si="1"/>
        <v>13</v>
      </c>
      <c r="B20" s="96"/>
      <c r="C20" s="378"/>
      <c r="D20" s="363"/>
      <c r="E20" s="96">
        <f t="shared" si="0"/>
        <v>0</v>
      </c>
    </row>
    <row r="21" spans="1:9" ht="18.75">
      <c r="A21" s="96"/>
      <c r="B21" s="96" t="s">
        <v>66</v>
      </c>
      <c r="C21" s="378">
        <f>SUM(C7:C20)</f>
        <v>115181.77</v>
      </c>
      <c r="D21" s="402">
        <f>SUM(D7:D20)</f>
        <v>107976.63462341399</v>
      </c>
      <c r="E21" s="453">
        <f t="shared" si="0"/>
        <v>7205.1353765860113</v>
      </c>
      <c r="F21" s="93"/>
      <c r="H21" s="1">
        <f>D21+H5</f>
        <v>117927.958523414</v>
      </c>
    </row>
    <row r="22" spans="1:9" ht="15" customHeight="1">
      <c r="C22" s="452">
        <f>(H3+H4-C21)/(H3+H4)</f>
        <v>0.1897837934910348</v>
      </c>
      <c r="D22" s="43"/>
      <c r="G22" s="43"/>
      <c r="H22" s="43"/>
      <c r="I22" s="357"/>
    </row>
    <row r="23" spans="1:9">
      <c r="B23" s="96" t="s">
        <v>67</v>
      </c>
      <c r="C23" s="373">
        <v>1330</v>
      </c>
      <c r="D23" s="364">
        <f>72.8+1357.12-254.37+36.97</f>
        <v>1212.5199999999998</v>
      </c>
      <c r="E23" s="96">
        <f t="shared" si="0"/>
        <v>117.48000000000025</v>
      </c>
      <c r="I23" s="357"/>
    </row>
    <row r="24" spans="1:9" ht="15" customHeight="1">
      <c r="B24" s="96" t="s">
        <v>68</v>
      </c>
      <c r="C24" s="373">
        <f>C23/5</f>
        <v>266</v>
      </c>
      <c r="D24" s="364">
        <f>25.2+254.37+9.15</f>
        <v>288.71999999999997</v>
      </c>
      <c r="E24" s="96">
        <f t="shared" si="0"/>
        <v>-22.71999999999997</v>
      </c>
      <c r="I24" s="358"/>
    </row>
    <row r="25" spans="1:9">
      <c r="B25" s="96" t="s">
        <v>69</v>
      </c>
      <c r="C25" s="373"/>
      <c r="D25" s="364"/>
      <c r="E25" s="96"/>
      <c r="G25" s="359"/>
      <c r="H25" s="359"/>
      <c r="I25" s="359"/>
    </row>
    <row r="26" spans="1:9" ht="18.75">
      <c r="B26" s="96" t="s">
        <v>66</v>
      </c>
      <c r="C26" s="373">
        <f>SUM(C23:C25)</f>
        <v>1596</v>
      </c>
      <c r="D26" s="364">
        <f t="shared" ref="D26:E26" si="2">SUM(D23:D25)</f>
        <v>1501.2399999999998</v>
      </c>
      <c r="E26" s="347">
        <f t="shared" si="2"/>
        <v>94.760000000000275</v>
      </c>
      <c r="G26" s="360"/>
      <c r="H26" s="360"/>
      <c r="I26" s="360"/>
    </row>
    <row r="27" spans="1:9">
      <c r="A27" s="140"/>
      <c r="B27" s="272"/>
      <c r="C27" s="240"/>
      <c r="G27" s="360"/>
      <c r="H27" s="361"/>
      <c r="I27" s="361"/>
    </row>
    <row r="28" spans="1:9">
      <c r="A28" s="141"/>
      <c r="G28" s="43"/>
      <c r="H28" s="43"/>
      <c r="I28" s="43"/>
    </row>
    <row r="29" spans="1:9" ht="24.75" customHeight="1">
      <c r="G29" s="43"/>
      <c r="H29" s="43"/>
      <c r="I29" s="43"/>
    </row>
    <row r="30" spans="1:9">
      <c r="B30" t="s">
        <v>70</v>
      </c>
      <c r="C30" s="328">
        <f>C31+C32+C33+C34</f>
        <v>0</v>
      </c>
    </row>
    <row r="31" spans="1:9">
      <c r="C31" s="43"/>
    </row>
    <row r="32" spans="1:9">
      <c r="C32" s="317"/>
    </row>
    <row r="33" spans="3:3">
      <c r="C33" s="1"/>
    </row>
    <row r="34" spans="3:3">
      <c r="C34" s="1"/>
    </row>
  </sheetData>
  <mergeCells count="2">
    <mergeCell ref="B1:E1"/>
    <mergeCell ref="G1:H1"/>
  </mergeCells>
  <conditionalFormatting sqref="H13">
    <cfRule type="cellIs" dxfId="101" priority="5" operator="greaterThan">
      <formula>$H$9</formula>
    </cfRule>
  </conditionalFormatting>
  <conditionalFormatting sqref="H2">
    <cfRule type="cellIs" dxfId="100" priority="6" operator="greaterThan">
      <formula>#REF!</formula>
    </cfRule>
  </conditionalFormatting>
  <conditionalFormatting sqref="E7:E21">
    <cfRule type="cellIs" dxfId="99" priority="4" operator="lessThan">
      <formula>0</formula>
    </cfRule>
  </conditionalFormatting>
  <conditionalFormatting sqref="E23:E26">
    <cfRule type="cellIs" dxfId="98" priority="3" operator="lessThan">
      <formula>0</formula>
    </cfRule>
  </conditionalFormatting>
  <conditionalFormatting sqref="H14:H15">
    <cfRule type="cellIs" dxfId="97" priority="7" operator="greaterThan">
      <formula>$H$10</formula>
    </cfRule>
  </conditionalFormatting>
  <conditionalFormatting sqref="H13">
    <cfRule type="cellIs" dxfId="96" priority="2" operator="greaterThan">
      <formula>$H$9</formula>
    </cfRule>
  </conditionalFormatting>
  <conditionalFormatting sqref="H16">
    <cfRule type="cellIs" dxfId="95" priority="1" operator="greaterThan">
      <formula>$H$11</formula>
    </cfRule>
  </conditionalFormatting>
  <pageMargins left="0.7" right="0.7" top="0.75" bottom="0.75" header="0.3" footer="0.3"/>
  <pageSetup paperSize="9" orientation="landscape"/>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55094D-EFCA-4D0E-9956-95676F16BDF2}">
  <sheetPr>
    <tabColor rgb="FF92D050"/>
    <pageSetUpPr fitToPage="1"/>
  </sheetPr>
  <dimension ref="A1:N36"/>
  <sheetViews>
    <sheetView topLeftCell="A5" workbookViewId="0">
      <selection activeCell="B19" sqref="B19"/>
    </sheetView>
  </sheetViews>
  <sheetFormatPr defaultRowHeight="15" outlineLevelRow="1"/>
  <cols>
    <col min="1" max="1" width="10" bestFit="1" customWidth="1"/>
    <col min="2" max="2" width="30.140625" bestFit="1" customWidth="1"/>
    <col min="3" max="3" width="14.85546875" customWidth="1"/>
    <col min="4" max="4" width="10.7109375" customWidth="1"/>
    <col min="5" max="5" width="13" customWidth="1"/>
    <col min="6" max="6" width="7.140625" customWidth="1"/>
    <col min="7" max="7" width="35.7109375" customWidth="1"/>
    <col min="8" max="8" width="23.42578125" customWidth="1"/>
    <col min="9" max="9" width="19.140625" customWidth="1"/>
    <col min="10" max="10" width="12.7109375" customWidth="1"/>
    <col min="11" max="11" width="9.28515625" bestFit="1" customWidth="1"/>
    <col min="12" max="12" width="10.42578125" bestFit="1" customWidth="1"/>
  </cols>
  <sheetData>
    <row r="1" spans="1:14" s="387" customFormat="1" ht="18.75">
      <c r="A1" s="377" t="s">
        <v>148</v>
      </c>
      <c r="B1" s="517" t="s">
        <v>149</v>
      </c>
      <c r="C1" s="517"/>
      <c r="D1" s="517"/>
      <c r="E1" s="517"/>
      <c r="G1" s="515" t="s">
        <v>150</v>
      </c>
      <c r="H1" s="515"/>
    </row>
    <row r="2" spans="1:14">
      <c r="G2" s="352"/>
      <c r="H2" s="353"/>
      <c r="J2" s="518" t="s">
        <v>115</v>
      </c>
      <c r="K2" s="518"/>
      <c r="L2" s="518"/>
    </row>
    <row r="3" spans="1:14" outlineLevel="1">
      <c r="B3" s="94" t="s">
        <v>27</v>
      </c>
      <c r="C3">
        <v>95.2</v>
      </c>
      <c r="D3" s="1">
        <f>C25/C3</f>
        <v>1906.3660714285713</v>
      </c>
      <c r="G3" s="354" t="s">
        <v>28</v>
      </c>
      <c r="H3" s="355">
        <v>217968.89</v>
      </c>
      <c r="I3" s="420" t="s">
        <v>116</v>
      </c>
      <c r="J3" s="1">
        <f>ROUND(H3*0.33,2)-0.03</f>
        <v>71929.7</v>
      </c>
      <c r="K3">
        <f>ROUND(H3*0.1,2)</f>
        <v>21796.89</v>
      </c>
      <c r="L3">
        <f>J3-K3</f>
        <v>50132.81</v>
      </c>
    </row>
    <row r="4" spans="1:14" ht="17.25" customHeight="1" outlineLevel="1">
      <c r="B4" s="94" t="s">
        <v>31</v>
      </c>
      <c r="C4">
        <v>68.400000000000006</v>
      </c>
      <c r="G4" s="354" t="s">
        <v>32</v>
      </c>
      <c r="H4" s="355">
        <v>10000</v>
      </c>
      <c r="I4" s="422" t="s">
        <v>117</v>
      </c>
      <c r="J4">
        <v>146039.19</v>
      </c>
      <c r="K4">
        <v>10898.44</v>
      </c>
      <c r="L4" s="1">
        <f t="shared" ref="L4:L5" si="0">J4-K4</f>
        <v>135140.75</v>
      </c>
    </row>
    <row r="5" spans="1:14">
      <c r="B5" s="322" t="s">
        <v>34</v>
      </c>
      <c r="C5" s="43">
        <f>SUM(C3:C4)</f>
        <v>163.60000000000002</v>
      </c>
      <c r="D5" s="317">
        <f>C25/C5</f>
        <v>1109.3279339853298</v>
      </c>
      <c r="G5" s="354" t="s">
        <v>35</v>
      </c>
      <c r="H5" s="355">
        <f>(H3+H4)*0.07</f>
        <v>15957.822300000002</v>
      </c>
      <c r="I5" s="421" t="s">
        <v>118</v>
      </c>
      <c r="J5">
        <f>K4+K3</f>
        <v>32695.33</v>
      </c>
      <c r="L5">
        <f t="shared" si="0"/>
        <v>32695.33</v>
      </c>
      <c r="N5" t="s">
        <v>119</v>
      </c>
    </row>
    <row r="6" spans="1:14" ht="16.5" customHeight="1">
      <c r="A6" s="96"/>
      <c r="B6" s="345" t="s">
        <v>37</v>
      </c>
      <c r="C6" s="371" t="s">
        <v>38</v>
      </c>
      <c r="D6" s="362" t="s">
        <v>39</v>
      </c>
      <c r="E6" s="345" t="s">
        <v>40</v>
      </c>
      <c r="G6" s="354" t="s">
        <v>41</v>
      </c>
      <c r="H6" s="355">
        <f>H3+H4-D25-H5</f>
        <v>64868.031816468429</v>
      </c>
      <c r="L6" s="1">
        <f>L5+L4+L3</f>
        <v>217968.89</v>
      </c>
    </row>
    <row r="7" spans="1:14">
      <c r="A7" s="346">
        <v>1</v>
      </c>
      <c r="B7" s="97" t="s">
        <v>42</v>
      </c>
      <c r="C7" s="454">
        <f>56065+300+33+2000</f>
        <v>58398</v>
      </c>
      <c r="D7" s="409">
        <f>(1231.91*15.02+138.53*16.5+205.25*14.03+800-115*50-4500)*1.48*1.2359+115*50+1887.5+4500+2000+(55.78*15.02+9.5*13-450)*1.48*1.2359+450+1211.96</f>
        <v>42742.585883531596</v>
      </c>
      <c r="E7" s="404">
        <f>C7-D7</f>
        <v>15655.414116468404</v>
      </c>
      <c r="F7" s="93">
        <f>D7/(H3+H4)</f>
        <v>0.18749306488061415</v>
      </c>
      <c r="H7" s="239">
        <f>H6/(H4+H3)</f>
        <v>0.28454773726567878</v>
      </c>
    </row>
    <row r="8" spans="1:14">
      <c r="A8" s="345">
        <f>A7+1</f>
        <v>2</v>
      </c>
      <c r="B8" s="96" t="s">
        <v>43</v>
      </c>
      <c r="C8" s="371">
        <f>36957.94+5000</f>
        <v>41957.94</v>
      </c>
      <c r="D8" s="363">
        <f>C35+363.21+2847.98+2517.12+1690+388.67+133.05+8.98+1418.19+609.38+1431.69+29.26+288.39+164.53+234.68+560.14+1799.55+150.56+8.8+313.6+763.29+6.28+266+87+574.38+37.56+67+116.64+366.69+399.58+1095.43+573.48+502+431.41+605+1744.46+286.3+967.99+840+48.5+900+883+955.44+408.99+71.94+1002.15</f>
        <v>28958.289999999997</v>
      </c>
      <c r="E8" s="96">
        <f t="shared" ref="E8:E29" si="1">C8-D8</f>
        <v>12999.650000000005</v>
      </c>
      <c r="F8" s="93">
        <f>D8/H3</f>
        <v>0.13285515194393105</v>
      </c>
      <c r="J8" s="1"/>
      <c r="L8">
        <f>H3*0.05</f>
        <v>10898.444500000001</v>
      </c>
    </row>
    <row r="9" spans="1:14">
      <c r="A9" s="345">
        <f t="shared" ref="A9:A24" si="2">A8+1</f>
        <v>3</v>
      </c>
      <c r="B9" s="96" t="s">
        <v>45</v>
      </c>
      <c r="C9" s="378">
        <v>6500</v>
      </c>
      <c r="D9" s="402">
        <f>3600+980+319.39+1265+352.17+74.2</f>
        <v>6590.76</v>
      </c>
      <c r="E9" s="96">
        <f t="shared" si="1"/>
        <v>-90.760000000000218</v>
      </c>
      <c r="G9" s="369" t="s">
        <v>46</v>
      </c>
      <c r="H9" s="370">
        <f>C7/C30</f>
        <v>38.369250985545335</v>
      </c>
      <c r="J9" s="1"/>
    </row>
    <row r="10" spans="1:14">
      <c r="A10" s="345">
        <f t="shared" si="2"/>
        <v>4</v>
      </c>
      <c r="B10" s="96" t="s">
        <v>47</v>
      </c>
      <c r="C10" s="378">
        <v>1025</v>
      </c>
      <c r="D10" s="363">
        <f>243.38+96.47+88.31+88.12</f>
        <v>516.28</v>
      </c>
      <c r="E10" s="96">
        <f t="shared" si="1"/>
        <v>508.72</v>
      </c>
      <c r="G10" s="371" t="s">
        <v>48</v>
      </c>
      <c r="H10" s="372">
        <f>C30/C5</f>
        <v>9.303178484107578</v>
      </c>
      <c r="M10">
        <f>K4*0.03</f>
        <v>326.95319999999998</v>
      </c>
    </row>
    <row r="11" spans="1:14">
      <c r="A11" s="345">
        <f t="shared" si="2"/>
        <v>5</v>
      </c>
      <c r="B11" s="96" t="s">
        <v>151</v>
      </c>
      <c r="C11" s="378">
        <f>1500</f>
        <v>1500</v>
      </c>
      <c r="D11" s="363">
        <f>337.72/2+201.99+283.98*2+253.98+843.43+98.97</f>
        <v>2135.1899999999996</v>
      </c>
      <c r="E11" s="96">
        <f t="shared" si="1"/>
        <v>-635.1899999999996</v>
      </c>
      <c r="G11" s="371" t="s">
        <v>50</v>
      </c>
      <c r="H11" s="378">
        <f>H9*H10</f>
        <v>356.95599022004882</v>
      </c>
      <c r="M11">
        <f>M10*5</f>
        <v>1634.7659999999998</v>
      </c>
    </row>
    <row r="12" spans="1:14">
      <c r="A12" s="345">
        <f t="shared" si="2"/>
        <v>6</v>
      </c>
      <c r="B12" s="96" t="s">
        <v>80</v>
      </c>
      <c r="C12" s="378">
        <v>2000</v>
      </c>
      <c r="D12" s="402">
        <f>1400+590+150+150+190+190+1070</f>
        <v>3740</v>
      </c>
      <c r="E12" s="404">
        <f t="shared" si="1"/>
        <v>-1740</v>
      </c>
    </row>
    <row r="13" spans="1:14">
      <c r="A13" s="345"/>
      <c r="B13" s="96" t="s">
        <v>120</v>
      </c>
      <c r="C13" s="378">
        <v>3000</v>
      </c>
      <c r="D13" s="363">
        <f>5930.25</f>
        <v>5930.25</v>
      </c>
      <c r="E13" s="96">
        <f>C13-D13</f>
        <v>-2930.25</v>
      </c>
    </row>
    <row r="14" spans="1:14">
      <c r="A14" s="345"/>
      <c r="B14" s="96" t="s">
        <v>152</v>
      </c>
      <c r="C14" s="378">
        <v>500</v>
      </c>
      <c r="D14" s="363">
        <f>2374.69*2</f>
        <v>4749.38</v>
      </c>
      <c r="E14" s="96">
        <f t="shared" ref="E14:E18" si="3">C14-D14</f>
        <v>-4249.38</v>
      </c>
    </row>
    <row r="15" spans="1:14">
      <c r="A15" s="345"/>
      <c r="B15" s="96" t="s">
        <v>153</v>
      </c>
      <c r="C15" s="378">
        <v>1300</v>
      </c>
      <c r="D15" s="402">
        <v>2666.79</v>
      </c>
      <c r="E15" s="96">
        <f t="shared" si="3"/>
        <v>-1366.79</v>
      </c>
    </row>
    <row r="16" spans="1:14">
      <c r="A16" s="345"/>
      <c r="B16" s="96" t="s">
        <v>154</v>
      </c>
      <c r="C16" s="378">
        <v>7417</v>
      </c>
      <c r="D16" s="402">
        <v>5515.84</v>
      </c>
      <c r="E16" s="96">
        <f t="shared" si="3"/>
        <v>1901.1599999999999</v>
      </c>
    </row>
    <row r="17" spans="1:9">
      <c r="A17" s="345"/>
      <c r="B17" s="96" t="s">
        <v>155</v>
      </c>
      <c r="C17" s="378">
        <v>1100</v>
      </c>
      <c r="D17" s="402"/>
      <c r="E17" s="96">
        <f t="shared" si="3"/>
        <v>1100</v>
      </c>
    </row>
    <row r="18" spans="1:9">
      <c r="A18" s="345">
        <f>A12+1</f>
        <v>7</v>
      </c>
      <c r="B18" s="96" t="s">
        <v>104</v>
      </c>
      <c r="C18" s="378">
        <f>500+632+6590+5860+2666+3497+312+4886+4855+2100</f>
        <v>31898</v>
      </c>
      <c r="D18" s="402">
        <f>30106.35</f>
        <v>30106.35</v>
      </c>
      <c r="E18" s="96">
        <f t="shared" si="3"/>
        <v>1791.6500000000015</v>
      </c>
      <c r="G18" s="366" t="s">
        <v>55</v>
      </c>
      <c r="H18" s="367">
        <f>D7/D30</f>
        <v>26.042385398826269</v>
      </c>
    </row>
    <row r="19" spans="1:9">
      <c r="A19" s="345">
        <f t="shared" si="2"/>
        <v>8</v>
      </c>
      <c r="B19" s="96" t="s">
        <v>82</v>
      </c>
      <c r="C19" s="378">
        <v>2500</v>
      </c>
      <c r="D19" s="363">
        <f>2530+4175.65</f>
        <v>6705.65</v>
      </c>
      <c r="E19" s="96">
        <f t="shared" si="1"/>
        <v>-4205.6499999999996</v>
      </c>
      <c r="G19" s="366" t="s">
        <v>57</v>
      </c>
      <c r="H19" s="368">
        <f>D30/C5</f>
        <v>10.032212713936429</v>
      </c>
    </row>
    <row r="20" spans="1:9">
      <c r="A20" s="345">
        <f t="shared" si="2"/>
        <v>9</v>
      </c>
      <c r="B20" s="96" t="s">
        <v>83</v>
      </c>
      <c r="C20" s="378">
        <v>2400</v>
      </c>
      <c r="D20" s="363">
        <f>243.09+249.75+123.21+158.39+86.58+903.65</f>
        <v>1764.67</v>
      </c>
      <c r="E20" s="96">
        <f t="shared" si="1"/>
        <v>635.32999999999993</v>
      </c>
      <c r="G20" s="366" t="s">
        <v>59</v>
      </c>
      <c r="H20" s="374">
        <f>H19*H18</f>
        <v>261.26274989933734</v>
      </c>
    </row>
    <row r="21" spans="1:9">
      <c r="A21" s="345">
        <f t="shared" si="2"/>
        <v>10</v>
      </c>
      <c r="B21" s="96" t="s">
        <v>84</v>
      </c>
      <c r="C21" s="371">
        <f>25337.11-(C9+C10+C11+C12+C13)+150+150+778-C20</f>
        <v>9990.11</v>
      </c>
      <c r="D21" s="363">
        <f>2206.89+125+619.15+17.5+22.22+3.68+33.67+116.51+14.78+38.01+41.06+43.3+41.92+34.96+35.35+39.39+47+22+22.2+18+16.07+37.18+20.41+22.06+18.76+47.5+10+121.33+4.75+20.23+45.83+21.5+44.79</f>
        <v>3973</v>
      </c>
      <c r="E21" s="96">
        <f t="shared" si="1"/>
        <v>6017.1100000000006</v>
      </c>
    </row>
    <row r="22" spans="1:9">
      <c r="A22" s="345">
        <f t="shared" si="2"/>
        <v>11</v>
      </c>
      <c r="B22" s="96" t="s">
        <v>85</v>
      </c>
      <c r="C22" s="378">
        <v>10000</v>
      </c>
      <c r="D22" s="363">
        <f>1048</f>
        <v>1048</v>
      </c>
      <c r="E22" s="96">
        <f t="shared" si="1"/>
        <v>8952</v>
      </c>
      <c r="G22" s="375" t="s">
        <v>62</v>
      </c>
      <c r="H22" s="374">
        <f>(D7+D9+D11)/D30</f>
        <v>31.358969507473841</v>
      </c>
    </row>
    <row r="23" spans="1:9">
      <c r="A23" s="345">
        <f t="shared" si="2"/>
        <v>12</v>
      </c>
      <c r="B23" s="96" t="s">
        <v>86</v>
      </c>
      <c r="C23" s="371"/>
      <c r="D23" s="363"/>
      <c r="E23" s="96">
        <f t="shared" si="1"/>
        <v>0</v>
      </c>
      <c r="G23" s="366" t="s">
        <v>64</v>
      </c>
      <c r="H23" s="366">
        <f>3600/24/5</f>
        <v>30</v>
      </c>
    </row>
    <row r="24" spans="1:9">
      <c r="A24" s="345">
        <f t="shared" si="2"/>
        <v>13</v>
      </c>
      <c r="B24" s="96"/>
      <c r="C24" s="371"/>
      <c r="E24" s="96">
        <f t="shared" si="1"/>
        <v>0</v>
      </c>
    </row>
    <row r="25" spans="1:9" ht="18.75">
      <c r="A25" s="96"/>
      <c r="B25" s="96" t="s">
        <v>66</v>
      </c>
      <c r="C25" s="371">
        <f>SUM(C7:C24)</f>
        <v>181486.05</v>
      </c>
      <c r="D25" s="402">
        <f>SUM(D7:D24)</f>
        <v>147143.03588353159</v>
      </c>
      <c r="E25" s="453">
        <f t="shared" si="1"/>
        <v>34343.014116468403</v>
      </c>
      <c r="F25" s="93"/>
      <c r="H25" s="1">
        <f>D25+H5</f>
        <v>163100.85818353159</v>
      </c>
    </row>
    <row r="26" spans="1:9" ht="15" customHeight="1">
      <c r="C26" s="452">
        <f>(H3+H4-C25)/(H3+H4)</f>
        <v>0.20389992687160086</v>
      </c>
      <c r="D26" s="43"/>
      <c r="G26" s="43"/>
      <c r="H26" s="43"/>
      <c r="I26" s="357"/>
    </row>
    <row r="27" spans="1:9">
      <c r="B27" s="96" t="s">
        <v>67</v>
      </c>
      <c r="C27" s="373">
        <v>1112</v>
      </c>
      <c r="D27" s="364">
        <f>146.48+182.58+190.02+42+120.32+10+91.83+209.13+224.17+9.87+64.52+12.9-2.36-17</f>
        <v>1284.4600000000003</v>
      </c>
      <c r="E27" s="96">
        <f t="shared" si="1"/>
        <v>-172.46000000000026</v>
      </c>
      <c r="I27" s="357"/>
    </row>
    <row r="28" spans="1:9" ht="15" customHeight="1">
      <c r="B28" s="96" t="s">
        <v>68</v>
      </c>
      <c r="C28" s="373">
        <f>C27/4</f>
        <v>278</v>
      </c>
      <c r="D28" s="364">
        <f>138.53+17*9</f>
        <v>291.52999999999997</v>
      </c>
      <c r="E28" s="96">
        <f t="shared" si="1"/>
        <v>-13.529999999999973</v>
      </c>
      <c r="I28" s="358"/>
    </row>
    <row r="29" spans="1:9">
      <c r="B29" s="96" t="s">
        <v>69</v>
      </c>
      <c r="C29" s="373">
        <v>132</v>
      </c>
      <c r="D29" s="364">
        <v>65.28</v>
      </c>
      <c r="E29" s="96">
        <f t="shared" si="1"/>
        <v>66.72</v>
      </c>
      <c r="G29" s="359"/>
      <c r="H29" s="359"/>
      <c r="I29" s="359"/>
    </row>
    <row r="30" spans="1:9" ht="18.75">
      <c r="B30" s="96" t="s">
        <v>66</v>
      </c>
      <c r="C30" s="373">
        <f>SUM(C27:C29)</f>
        <v>1522</v>
      </c>
      <c r="D30" s="364">
        <f t="shared" ref="D30:E30" si="4">SUM(D27:D29)</f>
        <v>1641.2700000000002</v>
      </c>
      <c r="E30" s="347">
        <f t="shared" si="4"/>
        <v>-119.27000000000024</v>
      </c>
      <c r="G30" s="360"/>
      <c r="H30" s="360"/>
      <c r="I30" s="360"/>
    </row>
    <row r="31" spans="1:9">
      <c r="A31" s="140"/>
      <c r="B31" s="272"/>
      <c r="C31" s="240"/>
      <c r="G31" s="360"/>
      <c r="H31" s="361"/>
      <c r="I31" s="361"/>
    </row>
    <row r="32" spans="1:9">
      <c r="A32" s="141"/>
      <c r="G32" s="43"/>
      <c r="H32" s="43"/>
      <c r="I32" s="43"/>
    </row>
    <row r="33" spans="1:9" ht="24.75" customHeight="1">
      <c r="G33" s="43"/>
      <c r="H33" s="43"/>
      <c r="I33" s="43"/>
    </row>
    <row r="34" spans="1:9" ht="27.75" customHeight="1"/>
    <row r="35" spans="1:9">
      <c r="A35" t="s">
        <v>70</v>
      </c>
      <c r="C35" s="328">
        <f>C36</f>
        <v>0</v>
      </c>
    </row>
    <row r="36" spans="1:9">
      <c r="C36" s="419"/>
    </row>
  </sheetData>
  <mergeCells count="3">
    <mergeCell ref="B1:E1"/>
    <mergeCell ref="G1:H1"/>
    <mergeCell ref="J2:L2"/>
  </mergeCells>
  <conditionalFormatting sqref="H18">
    <cfRule type="cellIs" dxfId="94" priority="5" operator="greaterThan">
      <formula>$H$9</formula>
    </cfRule>
  </conditionalFormatting>
  <conditionalFormatting sqref="H2">
    <cfRule type="cellIs" dxfId="93" priority="6" operator="greaterThan">
      <formula>#REF!</formula>
    </cfRule>
  </conditionalFormatting>
  <conditionalFormatting sqref="E7:E25">
    <cfRule type="cellIs" dxfId="92" priority="4" operator="lessThan">
      <formula>0</formula>
    </cfRule>
  </conditionalFormatting>
  <conditionalFormatting sqref="E27:E30">
    <cfRule type="cellIs" dxfId="91" priority="3" operator="lessThan">
      <formula>0</formula>
    </cfRule>
  </conditionalFormatting>
  <conditionalFormatting sqref="H19">
    <cfRule type="cellIs" dxfId="90" priority="7" operator="greaterThan">
      <formula>$H$10</formula>
    </cfRule>
  </conditionalFormatting>
  <conditionalFormatting sqref="H18">
    <cfRule type="cellIs" dxfId="89" priority="2" operator="greaterThan">
      <formula>$H$9</formula>
    </cfRule>
  </conditionalFormatting>
  <conditionalFormatting sqref="H20">
    <cfRule type="cellIs" dxfId="88" priority="1" operator="greaterThan">
      <formula>$H$11</formula>
    </cfRule>
  </conditionalFormatting>
  <pageMargins left="0.7" right="0.7" top="0.75" bottom="0.75" header="0.3" footer="0.3"/>
  <pageSetup paperSize="9" orientation="landscape"/>
  <legacy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1D07F-7092-415F-95CC-4789E130117D}">
  <sheetPr>
    <tabColor rgb="FF92D050"/>
    <pageSetUpPr fitToPage="1"/>
  </sheetPr>
  <dimension ref="A1:L35"/>
  <sheetViews>
    <sheetView workbookViewId="0">
      <selection activeCell="E27" sqref="E27:E28"/>
    </sheetView>
  </sheetViews>
  <sheetFormatPr defaultRowHeight="15" outlineLevelRow="1"/>
  <cols>
    <col min="1" max="1" width="10" bestFit="1" customWidth="1"/>
    <col min="2" max="2" width="30.140625" bestFit="1" customWidth="1"/>
    <col min="3" max="3" width="14.85546875" customWidth="1"/>
    <col min="4" max="5" width="10.7109375" customWidth="1"/>
    <col min="6" max="6" width="7.140625" customWidth="1"/>
    <col min="7" max="7" width="35.7109375" customWidth="1"/>
    <col min="8" max="8" width="23.42578125" customWidth="1"/>
    <col min="9" max="9" width="15" customWidth="1"/>
    <col min="10" max="10" width="12.7109375" customWidth="1"/>
  </cols>
  <sheetData>
    <row r="1" spans="1:12" s="387" customFormat="1" ht="18.75">
      <c r="A1" s="433" t="s">
        <v>156</v>
      </c>
      <c r="B1" s="517" t="s">
        <v>157</v>
      </c>
      <c r="C1" s="517"/>
      <c r="D1" s="517"/>
      <c r="E1" s="517"/>
      <c r="G1" s="515" t="s">
        <v>158</v>
      </c>
      <c r="H1" s="515"/>
    </row>
    <row r="2" spans="1:12">
      <c r="G2" s="352"/>
      <c r="H2" s="353"/>
      <c r="J2" s="518"/>
      <c r="K2" s="518"/>
      <c r="L2" s="518"/>
    </row>
    <row r="3" spans="1:12" outlineLevel="1">
      <c r="B3" s="94" t="s">
        <v>27</v>
      </c>
      <c r="C3">
        <v>58.6</v>
      </c>
      <c r="D3" s="1">
        <f>C24/C3</f>
        <v>1155.6510238907849</v>
      </c>
      <c r="G3" s="354" t="s">
        <v>28</v>
      </c>
      <c r="H3" s="355">
        <v>75326.52</v>
      </c>
      <c r="I3" s="420"/>
      <c r="J3" s="1">
        <f>75326.52*0.3</f>
        <v>22597.956000000002</v>
      </c>
    </row>
    <row r="4" spans="1:12" ht="17.25" customHeight="1" outlineLevel="1">
      <c r="B4" s="94" t="s">
        <v>31</v>
      </c>
      <c r="C4">
        <v>45.5</v>
      </c>
      <c r="G4" s="354" t="s">
        <v>32</v>
      </c>
      <c r="H4" s="355">
        <f>3461.7+4094+2142.4</f>
        <v>9698.1</v>
      </c>
      <c r="I4" s="422"/>
      <c r="J4" s="1">
        <f>H3*0.9</f>
        <v>67793.868000000002</v>
      </c>
    </row>
    <row r="5" spans="1:12">
      <c r="B5" s="322" t="s">
        <v>34</v>
      </c>
      <c r="C5" s="43">
        <f>SUM(C3:C4)</f>
        <v>104.1</v>
      </c>
      <c r="D5" s="317">
        <f>C24/C5</f>
        <v>650.53938520653219</v>
      </c>
      <c r="G5" s="354" t="s">
        <v>35</v>
      </c>
      <c r="H5" s="355">
        <f>(H3+H4)*0.07</f>
        <v>5951.7234000000017</v>
      </c>
      <c r="I5" s="421"/>
      <c r="J5" s="1">
        <f>H3-J4</f>
        <v>7532.6520000000019</v>
      </c>
      <c r="K5" t="s">
        <v>159</v>
      </c>
    </row>
    <row r="6" spans="1:12" ht="16.5" customHeight="1">
      <c r="A6" s="96"/>
      <c r="B6" s="345" t="s">
        <v>37</v>
      </c>
      <c r="C6" s="371" t="s">
        <v>38</v>
      </c>
      <c r="D6" s="362" t="s">
        <v>39</v>
      </c>
      <c r="E6" s="345" t="s">
        <v>40</v>
      </c>
      <c r="G6" s="354" t="s">
        <v>41</v>
      </c>
      <c r="H6" s="355">
        <f>H3+H4-D24-H5</f>
        <v>21821.83204592362</v>
      </c>
    </row>
    <row r="7" spans="1:12">
      <c r="A7" s="346">
        <v>1</v>
      </c>
      <c r="B7" s="97" t="s">
        <v>42</v>
      </c>
      <c r="C7" s="376">
        <v>25181.19</v>
      </c>
      <c r="D7" s="409">
        <f>(238.91-120-138*40+209.21*12+109.17*13.81+444.82*13+337.8+2018.16)*1.48*1.2359+160+5520</f>
        <v>18037.044554076398</v>
      </c>
      <c r="E7" s="404">
        <f>C7-D7</f>
        <v>7144.1454459236011</v>
      </c>
      <c r="H7" s="239">
        <f>H6/(H4+H3)</f>
        <v>0.25665309701970579</v>
      </c>
    </row>
    <row r="8" spans="1:12">
      <c r="A8" s="345">
        <f>A7+1</f>
        <v>2</v>
      </c>
      <c r="B8" s="96" t="s">
        <v>43</v>
      </c>
      <c r="C8" s="371">
        <v>10234.11</v>
      </c>
      <c r="D8" s="363">
        <f>C34+4654.94+862.99+1793.26+700+330.35+891+2135.65+1793.26+247.07+806.49+50+55.26</f>
        <v>14320.269999999999</v>
      </c>
      <c r="E8" s="96">
        <f t="shared" ref="E8:E28" si="0">C8-D8</f>
        <v>-4086.159999999998</v>
      </c>
      <c r="J8" s="1"/>
    </row>
    <row r="9" spans="1:12">
      <c r="A9" s="345">
        <f t="shared" ref="A9:A23" si="1">A8+1</f>
        <v>3</v>
      </c>
      <c r="B9" s="96" t="s">
        <v>45</v>
      </c>
      <c r="C9" s="378">
        <v>2500</v>
      </c>
      <c r="D9" s="402">
        <v>5415.96</v>
      </c>
      <c r="E9" s="96">
        <f t="shared" si="0"/>
        <v>-2915.96</v>
      </c>
      <c r="G9" s="369" t="s">
        <v>46</v>
      </c>
      <c r="H9" s="370">
        <f>C7/C29</f>
        <v>21.072125523012552</v>
      </c>
      <c r="J9" s="49"/>
    </row>
    <row r="10" spans="1:12">
      <c r="A10" s="345">
        <f t="shared" si="1"/>
        <v>4</v>
      </c>
      <c r="B10" s="96" t="s">
        <v>47</v>
      </c>
      <c r="C10" s="378">
        <v>460</v>
      </c>
      <c r="D10" s="363">
        <f>232.47+237.27</f>
        <v>469.74</v>
      </c>
      <c r="E10" s="96">
        <f t="shared" si="0"/>
        <v>-9.7400000000000091</v>
      </c>
      <c r="G10" s="371" t="s">
        <v>48</v>
      </c>
      <c r="H10" s="372">
        <f>C29/C5</f>
        <v>11.479346781940443</v>
      </c>
    </row>
    <row r="11" spans="1:12">
      <c r="A11" s="345">
        <f t="shared" si="1"/>
        <v>5</v>
      </c>
      <c r="B11" s="96" t="s">
        <v>151</v>
      </c>
      <c r="C11" s="378">
        <v>400</v>
      </c>
      <c r="D11" s="363">
        <f>210.99+32.98+15</f>
        <v>258.97000000000003</v>
      </c>
      <c r="E11" s="96">
        <f t="shared" si="0"/>
        <v>141.02999999999997</v>
      </c>
      <c r="G11" s="371" t="s">
        <v>50</v>
      </c>
      <c r="H11" s="378">
        <f>C24/C5</f>
        <v>650.53938520653219</v>
      </c>
    </row>
    <row r="12" spans="1:12">
      <c r="A12" s="345">
        <f t="shared" si="1"/>
        <v>6</v>
      </c>
      <c r="B12" s="96" t="s">
        <v>80</v>
      </c>
      <c r="C12" s="378">
        <v>800</v>
      </c>
      <c r="D12" s="402">
        <v>190</v>
      </c>
      <c r="E12" s="404">
        <f t="shared" si="0"/>
        <v>610</v>
      </c>
    </row>
    <row r="13" spans="1:12">
      <c r="A13" s="345"/>
      <c r="B13" s="96" t="s">
        <v>120</v>
      </c>
      <c r="C13" s="378"/>
      <c r="D13" s="402"/>
      <c r="E13" s="96">
        <f>C13-D13</f>
        <v>0</v>
      </c>
    </row>
    <row r="14" spans="1:12">
      <c r="A14" s="345"/>
      <c r="B14" s="96" t="s">
        <v>160</v>
      </c>
      <c r="C14" s="378">
        <v>703.2</v>
      </c>
      <c r="D14" s="402">
        <v>480</v>
      </c>
      <c r="E14" s="404">
        <f t="shared" ref="E14:E16" si="2">C14-D14</f>
        <v>223.20000000000005</v>
      </c>
    </row>
    <row r="15" spans="1:12">
      <c r="A15" s="345"/>
      <c r="B15" s="96" t="s">
        <v>161</v>
      </c>
      <c r="C15" s="371">
        <v>0</v>
      </c>
      <c r="D15" s="363"/>
      <c r="E15" s="96">
        <f t="shared" si="2"/>
        <v>0</v>
      </c>
    </row>
    <row r="16" spans="1:12">
      <c r="A16" s="345"/>
      <c r="B16" s="96" t="s">
        <v>155</v>
      </c>
      <c r="C16" s="371">
        <v>0</v>
      </c>
      <c r="D16" s="363"/>
      <c r="E16" s="96">
        <f t="shared" si="2"/>
        <v>0</v>
      </c>
    </row>
    <row r="17" spans="1:8">
      <c r="A17" s="345">
        <f>A12+1</f>
        <v>7</v>
      </c>
      <c r="B17" s="96" t="s">
        <v>104</v>
      </c>
      <c r="C17" s="378">
        <v>12532</v>
      </c>
      <c r="D17" s="363">
        <v>12396.84</v>
      </c>
      <c r="E17" s="96">
        <f t="shared" si="0"/>
        <v>135.15999999999985</v>
      </c>
      <c r="G17" s="366" t="s">
        <v>55</v>
      </c>
      <c r="H17" s="367">
        <f>D7/D29</f>
        <v>18.598726081745099</v>
      </c>
    </row>
    <row r="18" spans="1:8">
      <c r="A18" s="345">
        <f t="shared" si="1"/>
        <v>8</v>
      </c>
      <c r="B18" s="96" t="s">
        <v>82</v>
      </c>
      <c r="C18" s="371">
        <v>0</v>
      </c>
      <c r="D18" s="363"/>
      <c r="E18" s="96">
        <f t="shared" si="0"/>
        <v>0</v>
      </c>
      <c r="G18" s="366" t="s">
        <v>57</v>
      </c>
      <c r="H18" s="368">
        <f>D29/C5</f>
        <v>9.3160422670509124</v>
      </c>
    </row>
    <row r="19" spans="1:8">
      <c r="A19" s="345">
        <f t="shared" si="1"/>
        <v>9</v>
      </c>
      <c r="B19" s="96" t="s">
        <v>83</v>
      </c>
      <c r="C19" s="378">
        <v>3536.3</v>
      </c>
      <c r="D19" s="402">
        <f>1090.2+63</f>
        <v>1153.2</v>
      </c>
      <c r="E19" s="404">
        <f t="shared" si="0"/>
        <v>2383.1000000000004</v>
      </c>
      <c r="G19" s="366" t="s">
        <v>59</v>
      </c>
      <c r="H19" s="374">
        <f>H18*H17</f>
        <v>173.26651829083954</v>
      </c>
    </row>
    <row r="20" spans="1:8">
      <c r="A20" s="345">
        <f t="shared" si="1"/>
        <v>10</v>
      </c>
      <c r="B20" s="96" t="s">
        <v>84</v>
      </c>
      <c r="C20" s="371">
        <v>1677.35</v>
      </c>
      <c r="D20" s="363">
        <f>297.49+265+168.39+238.16</f>
        <v>969.04</v>
      </c>
      <c r="E20" s="96">
        <f t="shared" si="0"/>
        <v>708.31</v>
      </c>
    </row>
    <row r="21" spans="1:8">
      <c r="A21" s="345">
        <f t="shared" si="1"/>
        <v>11</v>
      </c>
      <c r="B21" s="96" t="s">
        <v>85</v>
      </c>
      <c r="C21" s="378">
        <v>4094</v>
      </c>
      <c r="D21" s="402">
        <v>3560</v>
      </c>
      <c r="E21" s="404">
        <f t="shared" si="0"/>
        <v>534</v>
      </c>
      <c r="G21" s="375" t="s">
        <v>62</v>
      </c>
      <c r="H21" s="374">
        <f>(D7+D9+D11)/D29</f>
        <v>24.450375906451224</v>
      </c>
    </row>
    <row r="22" spans="1:8">
      <c r="A22" s="345">
        <f t="shared" si="1"/>
        <v>12</v>
      </c>
      <c r="B22" s="96" t="s">
        <v>86</v>
      </c>
      <c r="C22" s="378">
        <v>3461</v>
      </c>
      <c r="D22" s="363"/>
      <c r="E22" s="404">
        <f t="shared" si="0"/>
        <v>3461</v>
      </c>
      <c r="G22" s="366" t="s">
        <v>64</v>
      </c>
      <c r="H22" s="374">
        <f>D9/30/5</f>
        <v>36.106400000000001</v>
      </c>
    </row>
    <row r="23" spans="1:8">
      <c r="A23" s="345">
        <f t="shared" si="1"/>
        <v>13</v>
      </c>
      <c r="B23" s="96" t="s">
        <v>87</v>
      </c>
      <c r="C23" s="378">
        <v>2142</v>
      </c>
      <c r="D23" s="363"/>
      <c r="E23" s="404">
        <f t="shared" si="0"/>
        <v>2142</v>
      </c>
    </row>
    <row r="24" spans="1:8" ht="18.75">
      <c r="A24" s="96"/>
      <c r="B24" s="96" t="s">
        <v>66</v>
      </c>
      <c r="C24" s="371">
        <f>SUM(C7:C23)</f>
        <v>67721.149999999994</v>
      </c>
      <c r="D24" s="402">
        <f>SUM(D7:D23)</f>
        <v>57251.064554076387</v>
      </c>
      <c r="E24" s="347">
        <f t="shared" si="0"/>
        <v>10470.085445923607</v>
      </c>
      <c r="F24" s="93"/>
      <c r="H24" s="1">
        <f>D24+H5</f>
        <v>63202.78795407639</v>
      </c>
    </row>
    <row r="25" spans="1:8" ht="15" customHeight="1">
      <c r="C25" s="452">
        <f>(H3+H4-C24)/(H3+H4)</f>
        <v>0.20351128884786565</v>
      </c>
      <c r="D25" s="43"/>
    </row>
    <row r="26" spans="1:8">
      <c r="B26" s="96" t="s">
        <v>67</v>
      </c>
      <c r="C26" s="373">
        <v>975</v>
      </c>
      <c r="D26" s="364">
        <f>7+766-3.2</f>
        <v>769.8</v>
      </c>
      <c r="E26" s="96">
        <f t="shared" si="0"/>
        <v>205.20000000000005</v>
      </c>
    </row>
    <row r="27" spans="1:8" ht="15" customHeight="1">
      <c r="B27" s="96" t="s">
        <v>68</v>
      </c>
      <c r="C27" s="373">
        <v>220</v>
      </c>
      <c r="D27" s="364">
        <f>25*8</f>
        <v>200</v>
      </c>
      <c r="E27" s="96">
        <f t="shared" si="0"/>
        <v>20</v>
      </c>
    </row>
    <row r="28" spans="1:8">
      <c r="B28" s="96" t="s">
        <v>69</v>
      </c>
      <c r="C28" s="373"/>
      <c r="D28" s="364"/>
      <c r="E28" s="96">
        <f t="shared" si="0"/>
        <v>0</v>
      </c>
    </row>
    <row r="29" spans="1:8" ht="18.75">
      <c r="B29" s="96" t="s">
        <v>66</v>
      </c>
      <c r="C29" s="373">
        <f>SUM(C26:C28)</f>
        <v>1195</v>
      </c>
      <c r="D29" s="364">
        <f t="shared" ref="D29:E29" si="3">SUM(D26:D28)</f>
        <v>969.8</v>
      </c>
      <c r="E29" s="347">
        <f t="shared" si="3"/>
        <v>225.20000000000005</v>
      </c>
    </row>
    <row r="30" spans="1:8">
      <c r="A30" s="141"/>
    </row>
    <row r="31" spans="1:8">
      <c r="A31" s="141"/>
    </row>
    <row r="32" spans="1:8" ht="24.75" customHeight="1"/>
    <row r="33" spans="1:3" ht="27.75" customHeight="1"/>
    <row r="34" spans="1:3">
      <c r="A34" t="s">
        <v>70</v>
      </c>
      <c r="C34" s="328">
        <f>C36+C37+C38+C39</f>
        <v>0</v>
      </c>
    </row>
    <row r="35" spans="1:3">
      <c r="C35" s="419"/>
    </row>
  </sheetData>
  <mergeCells count="3">
    <mergeCell ref="B1:E1"/>
    <mergeCell ref="G1:H1"/>
    <mergeCell ref="J2:L2"/>
  </mergeCells>
  <conditionalFormatting sqref="H17">
    <cfRule type="cellIs" dxfId="87" priority="5" operator="greaterThan">
      <formula>$H$9</formula>
    </cfRule>
  </conditionalFormatting>
  <conditionalFormatting sqref="E7:E24">
    <cfRule type="cellIs" dxfId="86" priority="4" operator="lessThan">
      <formula>0</formula>
    </cfRule>
  </conditionalFormatting>
  <conditionalFormatting sqref="E26:E29">
    <cfRule type="cellIs" dxfId="85" priority="3" operator="lessThan">
      <formula>0</formula>
    </cfRule>
  </conditionalFormatting>
  <conditionalFormatting sqref="H18">
    <cfRule type="cellIs" dxfId="84" priority="7" operator="greaterThan">
      <formula>$H$10</formula>
    </cfRule>
  </conditionalFormatting>
  <conditionalFormatting sqref="H17">
    <cfRule type="cellIs" dxfId="83" priority="2" operator="greaterThan">
      <formula>$H$9</formula>
    </cfRule>
  </conditionalFormatting>
  <conditionalFormatting sqref="H19">
    <cfRule type="cellIs" dxfId="82" priority="1" operator="greaterThan">
      <formula>$H$11</formula>
    </cfRule>
  </conditionalFormatting>
  <pageMargins left="0.7" right="0.7" top="0.75" bottom="0.75" header="0.3" footer="0.3"/>
  <pageSetup paperSize="9" orientation="landscape"/>
  <extLst>
    <ext xmlns:x14="http://schemas.microsoft.com/office/spreadsheetml/2009/9/main" uri="{78C0D931-6437-407d-A8EE-F0AAD7539E65}">
      <x14:conditionalFormattings>
        <x14:conditionalFormatting xmlns:xm="http://schemas.microsoft.com/office/excel/2006/main">
          <x14:cfRule type="cellIs" priority="6" operator="greaterThan" id="{6050DA2C-A521-4FAF-9485-118767AF7CBA}">
            <xm:f>UGG!#REF!</xm:f>
            <x14:dxf>
              <font>
                <color rgb="FF9C0006"/>
              </font>
              <fill>
                <patternFill patternType="solid">
                  <bgColor rgb="FF92D050"/>
                </patternFill>
              </fill>
            </x14:dxf>
          </x14:cfRule>
          <xm:sqref>H2</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92D20A-3569-4103-AD1A-944453D1D879}">
  <sheetPr>
    <tabColor rgb="FF92D050"/>
    <pageSetUpPr fitToPage="1"/>
  </sheetPr>
  <dimension ref="A1:O29"/>
  <sheetViews>
    <sheetView topLeftCell="A5" workbookViewId="0">
      <selection activeCell="D15" sqref="D15"/>
    </sheetView>
  </sheetViews>
  <sheetFormatPr defaultRowHeight="15" outlineLevelRow="1"/>
  <cols>
    <col min="1" max="1" width="10" bestFit="1" customWidth="1"/>
    <col min="2" max="2" width="30.140625" bestFit="1" customWidth="1"/>
    <col min="3" max="3" width="14.85546875" customWidth="1"/>
    <col min="4" max="5" width="10.7109375" customWidth="1"/>
    <col min="6" max="6" width="7.140625" customWidth="1"/>
    <col min="7" max="7" width="35.7109375" customWidth="1"/>
    <col min="8" max="8" width="23.42578125" customWidth="1"/>
    <col min="9" max="9" width="15" customWidth="1"/>
    <col min="10" max="10" width="12.7109375" customWidth="1"/>
    <col min="12" max="12" width="14.42578125" customWidth="1"/>
    <col min="13" max="13" width="25.85546875" customWidth="1"/>
  </cols>
  <sheetData>
    <row r="1" spans="1:10" s="387" customFormat="1" ht="18.75">
      <c r="A1" s="377" t="s">
        <v>162</v>
      </c>
      <c r="B1" s="517" t="s">
        <v>163</v>
      </c>
      <c r="C1" s="517"/>
      <c r="D1" s="517"/>
      <c r="E1" s="517"/>
      <c r="G1" s="515" t="s">
        <v>164</v>
      </c>
      <c r="H1" s="515"/>
    </row>
    <row r="2" spans="1:10">
      <c r="G2" s="352"/>
      <c r="H2" s="353"/>
    </row>
    <row r="3" spans="1:10" ht="18.75" outlineLevel="1">
      <c r="B3" s="94" t="s">
        <v>27</v>
      </c>
      <c r="C3">
        <v>83.6</v>
      </c>
      <c r="D3" s="1">
        <f>C20/C3</f>
        <v>1307.8186602870812</v>
      </c>
      <c r="G3" s="354" t="s">
        <v>28</v>
      </c>
      <c r="H3" s="356">
        <v>110000</v>
      </c>
      <c r="I3" s="351"/>
    </row>
    <row r="4" spans="1:10" ht="17.25" customHeight="1" outlineLevel="1">
      <c r="B4" s="94" t="s">
        <v>31</v>
      </c>
      <c r="C4">
        <f>52.7+35.1</f>
        <v>87.800000000000011</v>
      </c>
      <c r="G4" s="354" t="s">
        <v>32</v>
      </c>
      <c r="H4" s="355">
        <f>C17+C18</f>
        <v>22635</v>
      </c>
      <c r="I4" s="320"/>
    </row>
    <row r="5" spans="1:10">
      <c r="B5" s="322" t="s">
        <v>34</v>
      </c>
      <c r="C5" s="43">
        <f>SUM(C3:C4)</f>
        <v>171.4</v>
      </c>
      <c r="D5" s="317">
        <f>C20/C5</f>
        <v>637.88588098016328</v>
      </c>
      <c r="G5" s="354" t="s">
        <v>35</v>
      </c>
      <c r="H5" s="355">
        <f>(H3+H4)*0.07</f>
        <v>9284.4500000000007</v>
      </c>
    </row>
    <row r="6" spans="1:10" ht="16.5" customHeight="1">
      <c r="A6" s="96"/>
      <c r="B6" s="345" t="s">
        <v>37</v>
      </c>
      <c r="C6" s="371" t="s">
        <v>38</v>
      </c>
      <c r="D6" s="362" t="s">
        <v>39</v>
      </c>
      <c r="E6" s="345" t="s">
        <v>40</v>
      </c>
      <c r="G6" s="354" t="s">
        <v>41</v>
      </c>
      <c r="H6" s="355">
        <f>H3+H4-D20-H5</f>
        <v>23933.590710644257</v>
      </c>
    </row>
    <row r="7" spans="1:10">
      <c r="A7" s="346">
        <v>1</v>
      </c>
      <c r="B7" s="97" t="s">
        <v>42</v>
      </c>
      <c r="C7" s="376">
        <v>37657.86</v>
      </c>
      <c r="D7" s="409">
        <f>(212.43*16.5+980.5*14-7200)*1.48*1.2359+7200+817+(126.41*15.02-100)*1.48*1.2359+100+(87.86*15+60.71*13-18*50)*1.48*1.2359+30*50+5022.32+473.74</f>
        <v>38961.105956022395</v>
      </c>
      <c r="E7" s="404">
        <f>C7-D7</f>
        <v>-1303.2459560223942</v>
      </c>
      <c r="H7" s="239">
        <f>H6/(H3+H4)</f>
        <v>0.1804470216054907</v>
      </c>
    </row>
    <row r="8" spans="1:10">
      <c r="A8" s="345">
        <f>A7+1</f>
        <v>2</v>
      </c>
      <c r="B8" s="96" t="s">
        <v>43</v>
      </c>
      <c r="C8" s="371">
        <v>14222.07</v>
      </c>
      <c r="D8" s="363">
        <f>C28+13856.17+488.85+113.61+1516.42+67.84+56.02+450</f>
        <v>16548.910000000003</v>
      </c>
      <c r="E8" s="404">
        <f t="shared" ref="E8:E24" si="0">C8-D8</f>
        <v>-2326.8400000000038</v>
      </c>
    </row>
    <row r="9" spans="1:10">
      <c r="A9" s="345">
        <f t="shared" ref="A9:A19" si="1">A8+1</f>
        <v>3</v>
      </c>
      <c r="B9" s="96" t="s">
        <v>45</v>
      </c>
      <c r="C9" s="378">
        <v>4800</v>
      </c>
      <c r="D9" s="402">
        <f>3800+350+140+280+660.91+2577.1+849+480+102.58/3+166</f>
        <v>9337.2033333333329</v>
      </c>
      <c r="E9" s="404">
        <f t="shared" si="0"/>
        <v>-4537.2033333333329</v>
      </c>
      <c r="G9" s="369" t="s">
        <v>46</v>
      </c>
      <c r="H9" s="370">
        <f>C7/C25</f>
        <v>27.09978411053541</v>
      </c>
      <c r="J9" s="49"/>
    </row>
    <row r="10" spans="1:10">
      <c r="A10" s="345">
        <f t="shared" si="1"/>
        <v>4</v>
      </c>
      <c r="B10" s="96" t="s">
        <v>47</v>
      </c>
      <c r="C10" s="378">
        <f>750+200</f>
        <v>950</v>
      </c>
      <c r="D10" s="363">
        <f>259.76+152.27+69.96+164.23+70.91+112.49</f>
        <v>829.61999999999989</v>
      </c>
      <c r="E10" s="96">
        <f t="shared" si="0"/>
        <v>120.38000000000011</v>
      </c>
      <c r="G10" s="371" t="s">
        <v>48</v>
      </c>
      <c r="H10" s="372">
        <f>C25/C5</f>
        <v>8.1073512252041997</v>
      </c>
    </row>
    <row r="11" spans="1:10">
      <c r="A11" s="345">
        <f t="shared" si="1"/>
        <v>5</v>
      </c>
      <c r="B11" s="96" t="s">
        <v>49</v>
      </c>
      <c r="C11" s="378">
        <v>1000</v>
      </c>
      <c r="D11" s="363">
        <f>1407.88+1021.88+25.45</f>
        <v>2455.21</v>
      </c>
      <c r="E11" s="96">
        <f t="shared" si="0"/>
        <v>-1455.21</v>
      </c>
      <c r="G11" s="371" t="s">
        <v>50</v>
      </c>
      <c r="H11" s="378">
        <f>H9*H10</f>
        <v>219.70746791131856</v>
      </c>
    </row>
    <row r="12" spans="1:10">
      <c r="A12" s="345">
        <f t="shared" si="1"/>
        <v>6</v>
      </c>
      <c r="B12" s="96" t="s">
        <v>80</v>
      </c>
      <c r="C12" s="378">
        <f>1000</f>
        <v>1000</v>
      </c>
      <c r="D12" s="402">
        <f>1130+190</f>
        <v>1320</v>
      </c>
      <c r="E12" s="404">
        <f t="shared" si="0"/>
        <v>-320</v>
      </c>
    </row>
    <row r="13" spans="1:10">
      <c r="A13" s="345">
        <f t="shared" si="1"/>
        <v>7</v>
      </c>
      <c r="B13" s="96" t="s">
        <v>104</v>
      </c>
      <c r="C13" s="378">
        <f>13763</f>
        <v>13763</v>
      </c>
      <c r="D13" s="363">
        <f>1349.69+12868.16+1349.68</f>
        <v>15567.53</v>
      </c>
      <c r="E13" s="96">
        <f t="shared" si="0"/>
        <v>-1804.5300000000007</v>
      </c>
      <c r="G13" s="366" t="s">
        <v>55</v>
      </c>
      <c r="H13" s="367">
        <f>D7/D25</f>
        <v>28.2167368849653</v>
      </c>
    </row>
    <row r="14" spans="1:10">
      <c r="A14" s="345">
        <f t="shared" si="1"/>
        <v>8</v>
      </c>
      <c r="B14" s="96" t="s">
        <v>153</v>
      </c>
      <c r="C14" s="378">
        <f>1688+3213</f>
        <v>4901</v>
      </c>
      <c r="D14" s="363">
        <f>2049.92+2601.53+817+210+931.62+780</f>
        <v>7390.0700000000006</v>
      </c>
      <c r="E14" s="96">
        <f t="shared" si="0"/>
        <v>-2489.0700000000006</v>
      </c>
      <c r="G14" s="366" t="s">
        <v>57</v>
      </c>
      <c r="H14" s="368">
        <f>D25/C5</f>
        <v>8.0558926487747975</v>
      </c>
    </row>
    <row r="15" spans="1:10">
      <c r="A15" s="345">
        <f t="shared" si="1"/>
        <v>9</v>
      </c>
      <c r="B15" s="96" t="s">
        <v>83</v>
      </c>
      <c r="C15" s="378">
        <f>1564+3211</f>
        <v>4775</v>
      </c>
      <c r="D15" s="402">
        <f>139+149+34+886.45</f>
        <v>1208.45</v>
      </c>
      <c r="E15" s="404">
        <f t="shared" si="0"/>
        <v>3566.55</v>
      </c>
      <c r="G15" s="366" t="s">
        <v>59</v>
      </c>
      <c r="H15" s="374">
        <f>H14*H13</f>
        <v>227.31100324400464</v>
      </c>
    </row>
    <row r="16" spans="1:10">
      <c r="A16" s="345">
        <f t="shared" si="1"/>
        <v>10</v>
      </c>
      <c r="B16" s="96" t="s">
        <v>84</v>
      </c>
      <c r="C16" s="371">
        <f>34818.71-C14-C15-C13-C12-C11-C10-C9</f>
        <v>3629.7099999999991</v>
      </c>
      <c r="D16" s="402">
        <f>1056+38.89+70.05+13+19.7+22+60+52.27+13.81+47.7+91.1+142.59+133.61+14.5</f>
        <v>1775.2199999999998</v>
      </c>
      <c r="E16" s="96">
        <f t="shared" si="0"/>
        <v>1854.4899999999993</v>
      </c>
    </row>
    <row r="17" spans="1:15">
      <c r="A17" s="345">
        <f t="shared" si="1"/>
        <v>11</v>
      </c>
      <c r="B17" s="96" t="s">
        <v>85</v>
      </c>
      <c r="C17" s="371">
        <v>21000</v>
      </c>
      <c r="D17" s="363">
        <f>1349.69+430+38+378.91+1220.04+607</f>
        <v>4023.64</v>
      </c>
      <c r="E17" s="96">
        <f t="shared" si="0"/>
        <v>16976.36</v>
      </c>
      <c r="G17" s="375" t="s">
        <v>62</v>
      </c>
      <c r="H17" s="374">
        <f>(D7+D9+D11)/D25</f>
        <v>36.757136755569839</v>
      </c>
    </row>
    <row r="18" spans="1:15">
      <c r="A18" s="345">
        <f t="shared" si="1"/>
        <v>12</v>
      </c>
      <c r="B18" s="96" t="s">
        <v>86</v>
      </c>
      <c r="C18" s="371">
        <v>1635</v>
      </c>
      <c r="D18" s="363"/>
      <c r="E18" s="96">
        <f t="shared" si="0"/>
        <v>1635</v>
      </c>
      <c r="G18" s="366" t="s">
        <v>64</v>
      </c>
      <c r="H18" s="423">
        <f>3800/6/30</f>
        <v>21.111111111111111</v>
      </c>
    </row>
    <row r="19" spans="1:15">
      <c r="A19" s="345">
        <f t="shared" si="1"/>
        <v>13</v>
      </c>
      <c r="B19" s="96"/>
      <c r="C19" s="371"/>
      <c r="D19" s="363"/>
      <c r="E19" s="96">
        <f t="shared" si="0"/>
        <v>0</v>
      </c>
    </row>
    <row r="20" spans="1:15" ht="18.75">
      <c r="A20" s="96"/>
      <c r="B20" s="96" t="s">
        <v>66</v>
      </c>
      <c r="C20" s="371">
        <f>SUM(C7:C19)</f>
        <v>109333.63999999998</v>
      </c>
      <c r="D20" s="402">
        <f>SUM(D7:D19)</f>
        <v>99416.959289355742</v>
      </c>
      <c r="E20" s="347">
        <f t="shared" si="0"/>
        <v>9916.6807106442429</v>
      </c>
      <c r="F20" s="93"/>
      <c r="H20" s="1">
        <f>D20+H5</f>
        <v>108701.40928935574</v>
      </c>
    </row>
    <row r="21" spans="1:15" ht="15" customHeight="1">
      <c r="C21" s="452">
        <f>(H3+H4-C20)/(H3+H4)</f>
        <v>0.17568032570588468</v>
      </c>
      <c r="D21" s="43"/>
      <c r="G21" s="43"/>
      <c r="H21" s="43"/>
      <c r="I21" s="357"/>
    </row>
    <row r="22" spans="1:15">
      <c r="B22" s="96" t="s">
        <v>67</v>
      </c>
      <c r="C22" s="373">
        <v>1033</v>
      </c>
      <c r="D22" s="291">
        <f>212.43*0.2+107.73+207.4+87.28+215.47+186.18+89.17+96.72-1.25-2.3-1.3-2.5-2.13+35.55-11.7+87.86+60.71+1.88</f>
        <v>1197.2560000000001</v>
      </c>
      <c r="E22" s="404">
        <f t="shared" si="0"/>
        <v>-164.25600000000009</v>
      </c>
      <c r="I22" s="357"/>
      <c r="L22" s="492" t="s">
        <v>165</v>
      </c>
      <c r="M22" s="493" t="s">
        <v>166</v>
      </c>
    </row>
    <row r="23" spans="1:15" ht="15" customHeight="1">
      <c r="B23" s="96" t="s">
        <v>68</v>
      </c>
      <c r="C23" s="373">
        <f>C22/5</f>
        <v>206.6</v>
      </c>
      <c r="D23" s="291">
        <f>212.43*0.8+11.7+1.88</f>
        <v>183.524</v>
      </c>
      <c r="E23" s="404">
        <f t="shared" si="0"/>
        <v>23.075999999999993</v>
      </c>
      <c r="I23" s="358"/>
      <c r="K23" s="1"/>
      <c r="L23" s="96">
        <v>12782.17</v>
      </c>
      <c r="M23" s="96">
        <f>L23+D17</f>
        <v>16805.810000000001</v>
      </c>
      <c r="N23" s="491"/>
      <c r="O23">
        <f>M23*1.3</f>
        <v>21847.553000000004</v>
      </c>
    </row>
    <row r="24" spans="1:15">
      <c r="B24" s="96" t="s">
        <v>69</v>
      </c>
      <c r="C24" s="373">
        <v>150</v>
      </c>
      <c r="D24" s="364"/>
      <c r="E24" s="404">
        <f t="shared" si="0"/>
        <v>150</v>
      </c>
      <c r="G24" s="359"/>
      <c r="H24" s="359"/>
      <c r="I24" s="359"/>
    </row>
    <row r="25" spans="1:15" ht="18.75">
      <c r="B25" s="96" t="s">
        <v>66</v>
      </c>
      <c r="C25" s="373">
        <f>SUM(C22:C24)</f>
        <v>1389.6</v>
      </c>
      <c r="D25" s="364">
        <f t="shared" ref="D25:E25" si="2">SUM(D22:D24)</f>
        <v>1380.7800000000002</v>
      </c>
      <c r="E25" s="453">
        <f t="shared" si="2"/>
        <v>8.8199999999999079</v>
      </c>
      <c r="G25" s="360"/>
      <c r="H25" s="360"/>
      <c r="I25" s="360"/>
    </row>
    <row r="26" spans="1:15">
      <c r="A26" s="140"/>
      <c r="B26" s="272"/>
      <c r="C26" s="240"/>
      <c r="G26" s="360"/>
      <c r="H26" s="361"/>
      <c r="I26" s="361"/>
    </row>
    <row r="27" spans="1:15">
      <c r="A27" s="141"/>
      <c r="G27" s="43"/>
      <c r="H27" s="43"/>
      <c r="I27" s="43"/>
    </row>
    <row r="28" spans="1:15">
      <c r="B28" t="s">
        <v>167</v>
      </c>
      <c r="C28" s="328">
        <f>C29+C30+C31</f>
        <v>0</v>
      </c>
      <c r="G28" s="43"/>
      <c r="H28" s="43"/>
      <c r="I28" s="43"/>
    </row>
    <row r="29" spans="1:15">
      <c r="D29" s="437"/>
    </row>
  </sheetData>
  <mergeCells count="2">
    <mergeCell ref="B1:E1"/>
    <mergeCell ref="G1:H1"/>
  </mergeCells>
  <conditionalFormatting sqref="H13">
    <cfRule type="cellIs" dxfId="80" priority="5" operator="greaterThan">
      <formula>$H$9</formula>
    </cfRule>
  </conditionalFormatting>
  <conditionalFormatting sqref="H2">
    <cfRule type="cellIs" dxfId="79" priority="6" operator="greaterThan">
      <formula>#REF!</formula>
    </cfRule>
  </conditionalFormatting>
  <conditionalFormatting sqref="E7:E20">
    <cfRule type="cellIs" dxfId="78" priority="4" operator="lessThan">
      <formula>0</formula>
    </cfRule>
  </conditionalFormatting>
  <conditionalFormatting sqref="E22:E25">
    <cfRule type="cellIs" dxfId="77" priority="3" operator="lessThan">
      <formula>0</formula>
    </cfRule>
  </conditionalFormatting>
  <conditionalFormatting sqref="H14">
    <cfRule type="cellIs" dxfId="76" priority="7" operator="greaterThan">
      <formula>$H$10</formula>
    </cfRule>
  </conditionalFormatting>
  <conditionalFormatting sqref="H13">
    <cfRule type="cellIs" dxfId="75" priority="2" operator="greaterThan">
      <formula>$H$9</formula>
    </cfRule>
  </conditionalFormatting>
  <conditionalFormatting sqref="H15">
    <cfRule type="cellIs" dxfId="74" priority="1" operator="greaterThan">
      <formula>$H$11</formula>
    </cfRule>
  </conditionalFormatting>
  <pageMargins left="0.7" right="0.7" top="0.75" bottom="0.75" header="0.3" footer="0.3"/>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A95113-ADA4-40C3-95C1-77C5FFA8DB00}">
  <sheetPr>
    <tabColor rgb="FF92D050"/>
    <pageSetUpPr fitToPage="1"/>
  </sheetPr>
  <dimension ref="A1:J31"/>
  <sheetViews>
    <sheetView workbookViewId="0">
      <selection activeCell="H4" sqref="H4"/>
    </sheetView>
  </sheetViews>
  <sheetFormatPr defaultRowHeight="15" outlineLevelRow="1"/>
  <cols>
    <col min="1" max="1" width="10" bestFit="1" customWidth="1"/>
    <col min="2" max="2" width="30.140625" bestFit="1" customWidth="1"/>
    <col min="3" max="3" width="14.85546875" customWidth="1"/>
    <col min="4" max="5" width="10.7109375" customWidth="1"/>
    <col min="6" max="6" width="7.140625" customWidth="1"/>
    <col min="7" max="7" width="35.7109375" customWidth="1"/>
    <col min="8" max="8" width="23.42578125" customWidth="1"/>
    <col min="9" max="9" width="15" customWidth="1"/>
    <col min="10" max="10" width="12.7109375" customWidth="1"/>
  </cols>
  <sheetData>
    <row r="1" spans="1:10" s="387" customFormat="1" ht="34.5" customHeight="1">
      <c r="A1" s="377" t="s">
        <v>168</v>
      </c>
      <c r="B1" s="515" t="s">
        <v>169</v>
      </c>
      <c r="C1" s="515"/>
      <c r="D1" s="515"/>
      <c r="E1" s="515"/>
      <c r="G1" s="515" t="s">
        <v>170</v>
      </c>
      <c r="H1" s="515"/>
    </row>
    <row r="2" spans="1:10">
      <c r="G2" s="352"/>
      <c r="H2" s="353"/>
    </row>
    <row r="3" spans="1:10" ht="18.75" outlineLevel="1">
      <c r="B3" s="94" t="s">
        <v>27</v>
      </c>
      <c r="C3">
        <v>73.36</v>
      </c>
      <c r="D3" s="1">
        <f>C20/C3</f>
        <v>1039.1110959651037</v>
      </c>
      <c r="G3" s="354" t="s">
        <v>28</v>
      </c>
      <c r="H3" s="356">
        <v>96000</v>
      </c>
      <c r="I3" s="351"/>
    </row>
    <row r="4" spans="1:10" ht="17.25" customHeight="1" outlineLevel="1">
      <c r="B4" s="94" t="s">
        <v>31</v>
      </c>
      <c r="C4">
        <v>14.59</v>
      </c>
      <c r="G4" s="354" t="s">
        <v>32</v>
      </c>
      <c r="H4" s="355">
        <f>6840.06+400+5876.81</f>
        <v>13116.87</v>
      </c>
      <c r="I4" s="320"/>
    </row>
    <row r="5" spans="1:10">
      <c r="B5" s="322" t="s">
        <v>34</v>
      </c>
      <c r="C5" s="43">
        <f>SUM(C3:C4)</f>
        <v>87.95</v>
      </c>
      <c r="D5" s="317">
        <f>C20/C5</f>
        <v>866.73325753268898</v>
      </c>
      <c r="G5" s="354" t="s">
        <v>35</v>
      </c>
      <c r="H5" s="355">
        <f>(H3+H4)*0.07</f>
        <v>7638.1809000000003</v>
      </c>
    </row>
    <row r="6" spans="1:10" ht="16.5" customHeight="1">
      <c r="A6" s="96"/>
      <c r="B6" s="345" t="s">
        <v>37</v>
      </c>
      <c r="C6" s="371" t="s">
        <v>38</v>
      </c>
      <c r="D6" s="362" t="s">
        <v>39</v>
      </c>
      <c r="E6" s="345" t="s">
        <v>40</v>
      </c>
      <c r="G6" s="354" t="s">
        <v>41</v>
      </c>
      <c r="H6" s="355">
        <f>H3+H4-D20-H5</f>
        <v>30458.069097435211</v>
      </c>
    </row>
    <row r="7" spans="1:10">
      <c r="A7" s="346">
        <v>1</v>
      </c>
      <c r="B7" s="97" t="s">
        <v>42</v>
      </c>
      <c r="C7" s="376">
        <f>32476.11</f>
        <v>32476.11</v>
      </c>
      <c r="D7" s="409">
        <f>(69.3*14.03+22.91*7+330.38*15.02+22.91*4*7.5-11*5*50-4850+614.09*15.02+137.6*14.03)*1.48*1.2359+11*50*5+4850+2250.82+4114.9</f>
        <v>32872.390002564796</v>
      </c>
      <c r="E7" s="96">
        <f>C7-D7</f>
        <v>-396.28000256479572</v>
      </c>
      <c r="H7" s="239">
        <f>H6/(H3+H4)</f>
        <v>0.2791325401602448</v>
      </c>
    </row>
    <row r="8" spans="1:10">
      <c r="A8" s="345">
        <f>A7+1</f>
        <v>2</v>
      </c>
      <c r="B8" s="96" t="s">
        <v>43</v>
      </c>
      <c r="C8" s="378">
        <v>10792</v>
      </c>
      <c r="D8" s="363">
        <f>B29+354.09+182.4+279.27+237.48+667+842.2+2100+3293.55+887.91+151.82+159.08+469.2+1531.05+271.88</f>
        <v>11426.93</v>
      </c>
      <c r="E8" s="96">
        <f t="shared" ref="E8:E23" si="0">C8-D8</f>
        <v>-634.93000000000029</v>
      </c>
    </row>
    <row r="9" spans="1:10">
      <c r="A9" s="345">
        <f t="shared" ref="A9:A19" si="1">A8+1</f>
        <v>3</v>
      </c>
      <c r="B9" s="96" t="s">
        <v>45</v>
      </c>
      <c r="C9" s="378">
        <v>3600</v>
      </c>
      <c r="D9" s="402">
        <f>1650*2</f>
        <v>3300</v>
      </c>
      <c r="E9" s="404">
        <f t="shared" si="0"/>
        <v>300</v>
      </c>
      <c r="G9" s="369" t="s">
        <v>46</v>
      </c>
      <c r="H9" s="370">
        <f>C7/C25</f>
        <v>26.511110204081632</v>
      </c>
      <c r="J9" s="49"/>
    </row>
    <row r="10" spans="1:10">
      <c r="A10" s="345">
        <f t="shared" si="1"/>
        <v>4</v>
      </c>
      <c r="B10" s="96" t="s">
        <v>47</v>
      </c>
      <c r="C10" s="378">
        <v>750</v>
      </c>
      <c r="D10" s="363">
        <f>194.18+66.49+152.06+258.08</f>
        <v>670.81</v>
      </c>
      <c r="E10" s="96">
        <f t="shared" si="0"/>
        <v>79.190000000000055</v>
      </c>
      <c r="G10" s="371" t="s">
        <v>48</v>
      </c>
      <c r="H10" s="372">
        <f>C25/C5</f>
        <v>13.928368391131324</v>
      </c>
    </row>
    <row r="11" spans="1:10">
      <c r="A11" s="345">
        <f t="shared" si="1"/>
        <v>5</v>
      </c>
      <c r="B11" s="96" t="s">
        <v>49</v>
      </c>
      <c r="C11" s="378">
        <f>1900+540</f>
        <v>2440</v>
      </c>
      <c r="D11" s="363">
        <f>279.99+455.96</f>
        <v>735.95</v>
      </c>
      <c r="E11" s="96">
        <f t="shared" si="0"/>
        <v>1704.05</v>
      </c>
      <c r="G11" s="371" t="s">
        <v>50</v>
      </c>
      <c r="H11" s="378">
        <f>H9*H10</f>
        <v>369.2565093803297</v>
      </c>
    </row>
    <row r="12" spans="1:10">
      <c r="A12" s="345">
        <f t="shared" si="1"/>
        <v>6</v>
      </c>
      <c r="B12" s="96" t="s">
        <v>80</v>
      </c>
      <c r="C12" s="378">
        <v>1000</v>
      </c>
      <c r="D12" s="402">
        <f>1040+130</f>
        <v>1170</v>
      </c>
      <c r="E12" s="404">
        <f t="shared" si="0"/>
        <v>-170</v>
      </c>
    </row>
    <row r="13" spans="1:10">
      <c r="A13" s="345">
        <f t="shared" si="1"/>
        <v>7</v>
      </c>
      <c r="B13" s="96" t="s">
        <v>104</v>
      </c>
      <c r="C13" s="378">
        <f>13626+2300</f>
        <v>15926</v>
      </c>
      <c r="D13" s="363">
        <f>11746.41+2952.01</f>
        <v>14698.42</v>
      </c>
      <c r="E13" s="96">
        <f t="shared" si="0"/>
        <v>1227.58</v>
      </c>
      <c r="G13" s="366" t="s">
        <v>55</v>
      </c>
      <c r="H13" s="367">
        <f>D7/D25</f>
        <v>28.568539523369221</v>
      </c>
    </row>
    <row r="14" spans="1:10">
      <c r="A14" s="345">
        <f t="shared" si="1"/>
        <v>8</v>
      </c>
      <c r="B14" s="96" t="s">
        <v>153</v>
      </c>
      <c r="C14" s="378"/>
      <c r="D14" s="363"/>
      <c r="E14" s="96">
        <f t="shared" si="0"/>
        <v>0</v>
      </c>
      <c r="G14" s="366" t="s">
        <v>57</v>
      </c>
      <c r="H14" s="368">
        <f>D25/C5</f>
        <v>13.083001705514498</v>
      </c>
    </row>
    <row r="15" spans="1:10">
      <c r="A15" s="345">
        <f t="shared" si="1"/>
        <v>9</v>
      </c>
      <c r="B15" s="96" t="s">
        <v>83</v>
      </c>
      <c r="C15" s="378">
        <f>1564+550+3265</f>
        <v>5379</v>
      </c>
      <c r="D15" s="363">
        <f>129.25+1953+1980.32</f>
        <v>4062.5699999999997</v>
      </c>
      <c r="E15" s="96">
        <f t="shared" si="0"/>
        <v>1316.4300000000003</v>
      </c>
      <c r="G15" s="366" t="s">
        <v>59</v>
      </c>
      <c r="H15" s="374">
        <f>H14*H13</f>
        <v>373.76225130829783</v>
      </c>
    </row>
    <row r="16" spans="1:10">
      <c r="A16" s="345">
        <f t="shared" si="1"/>
        <v>10</v>
      </c>
      <c r="B16" s="96" t="s">
        <v>84</v>
      </c>
      <c r="C16" s="371">
        <f>32961.08-C9-C10-C11-C12-C13-C15</f>
        <v>3866.0800000000017</v>
      </c>
      <c r="D16" s="363">
        <f>125+294.07+46.4+1010+26.23+101.95+21.25+21.25+11.4+426</f>
        <v>2083.5500000000002</v>
      </c>
      <c r="E16" s="96">
        <f t="shared" si="0"/>
        <v>1782.5300000000016</v>
      </c>
    </row>
    <row r="17" spans="1:9">
      <c r="A17" s="345">
        <f t="shared" si="1"/>
        <v>11</v>
      </c>
      <c r="B17" s="96" t="s">
        <v>85</v>
      </c>
      <c r="C17" s="371"/>
      <c r="D17" s="363"/>
      <c r="E17" s="96">
        <f t="shared" si="0"/>
        <v>0</v>
      </c>
      <c r="G17" s="375" t="s">
        <v>62</v>
      </c>
      <c r="H17" s="374">
        <f>(D7+D9+D11)/D25</f>
        <v>32.076078740333543</v>
      </c>
    </row>
    <row r="18" spans="1:9">
      <c r="A18" s="345">
        <f t="shared" si="1"/>
        <v>12</v>
      </c>
      <c r="B18" s="96" t="s">
        <v>86</v>
      </c>
      <c r="C18" s="371"/>
      <c r="D18" s="363"/>
      <c r="E18" s="96">
        <f t="shared" si="0"/>
        <v>0</v>
      </c>
      <c r="G18" s="366" t="s">
        <v>64</v>
      </c>
      <c r="H18" s="374">
        <f>3300/5/28</f>
        <v>23.571428571428573</v>
      </c>
    </row>
    <row r="19" spans="1:9">
      <c r="A19" s="345">
        <f t="shared" si="1"/>
        <v>13</v>
      </c>
      <c r="B19" s="96"/>
      <c r="C19" s="371"/>
      <c r="D19" s="363"/>
      <c r="E19" s="96">
        <f t="shared" si="0"/>
        <v>0</v>
      </c>
    </row>
    <row r="20" spans="1:9" ht="18.75">
      <c r="A20" s="96"/>
      <c r="B20" s="96" t="s">
        <v>66</v>
      </c>
      <c r="C20" s="373">
        <f>SUM(C7:C19)</f>
        <v>76229.19</v>
      </c>
      <c r="D20" s="363">
        <f>SUM(D7:D19)</f>
        <v>71020.620002564785</v>
      </c>
      <c r="E20" s="453">
        <f t="shared" si="0"/>
        <v>5208.5699974352174</v>
      </c>
      <c r="F20" s="93"/>
      <c r="H20" s="1">
        <f>D20+H5</f>
        <v>78658.800902564792</v>
      </c>
    </row>
    <row r="21" spans="1:9" ht="15" customHeight="1">
      <c r="C21" s="452">
        <f>(H3+H4-C20)/(H3+H4)</f>
        <v>0.30139867465040004</v>
      </c>
      <c r="D21" s="43"/>
      <c r="G21" s="43"/>
      <c r="H21" s="43"/>
      <c r="I21" s="357"/>
    </row>
    <row r="22" spans="1:9">
      <c r="B22" s="96" t="s">
        <v>67</v>
      </c>
      <c r="C22" s="373">
        <v>980</v>
      </c>
      <c r="D22" s="364">
        <f>311.4+591.97</f>
        <v>903.37</v>
      </c>
      <c r="E22" s="96">
        <f t="shared" si="0"/>
        <v>76.63</v>
      </c>
      <c r="I22" s="357"/>
    </row>
    <row r="23" spans="1:9" ht="15" customHeight="1">
      <c r="B23" s="96" t="s">
        <v>68</v>
      </c>
      <c r="C23" s="373">
        <f>C22/4</f>
        <v>245</v>
      </c>
      <c r="D23" s="364">
        <f>88.28+159</f>
        <v>247.28</v>
      </c>
      <c r="E23" s="96">
        <f t="shared" si="0"/>
        <v>-2.2800000000000011</v>
      </c>
      <c r="I23" s="358"/>
    </row>
    <row r="24" spans="1:9">
      <c r="B24" s="96" t="s">
        <v>69</v>
      </c>
      <c r="C24" s="373"/>
      <c r="D24" s="364"/>
      <c r="E24" s="96"/>
      <c r="G24" s="359"/>
      <c r="H24" s="359"/>
      <c r="I24" s="359"/>
    </row>
    <row r="25" spans="1:9" ht="18.75">
      <c r="B25" s="96" t="s">
        <v>66</v>
      </c>
      <c r="C25" s="373">
        <f>SUM(C22:C24)</f>
        <v>1225</v>
      </c>
      <c r="D25" s="364">
        <f t="shared" ref="D25:E25" si="2">SUM(D22:D24)</f>
        <v>1150.6500000000001</v>
      </c>
      <c r="E25" s="347">
        <f t="shared" si="2"/>
        <v>74.349999999999994</v>
      </c>
      <c r="G25" s="360"/>
      <c r="H25" s="360"/>
      <c r="I25" s="360"/>
    </row>
    <row r="26" spans="1:9">
      <c r="A26" s="140"/>
      <c r="B26" s="272"/>
      <c r="C26" s="240"/>
      <c r="G26" s="360"/>
      <c r="H26" s="361"/>
      <c r="I26" s="361"/>
    </row>
    <row r="27" spans="1:9">
      <c r="A27" s="141"/>
      <c r="G27" s="43"/>
      <c r="H27" s="43"/>
      <c r="I27" s="43"/>
    </row>
    <row r="28" spans="1:9" ht="24.75" customHeight="1">
      <c r="G28" s="43"/>
      <c r="H28" s="43"/>
      <c r="I28" s="43"/>
    </row>
    <row r="29" spans="1:9">
      <c r="A29" t="s">
        <v>70</v>
      </c>
      <c r="B29" s="328">
        <f>B30+B31</f>
        <v>0</v>
      </c>
    </row>
    <row r="30" spans="1:9">
      <c r="B30" s="43"/>
      <c r="C30" s="437"/>
    </row>
    <row r="31" spans="1:9">
      <c r="B31" s="43"/>
    </row>
  </sheetData>
  <mergeCells count="2">
    <mergeCell ref="B1:E1"/>
    <mergeCell ref="G1:H1"/>
  </mergeCells>
  <conditionalFormatting sqref="H13">
    <cfRule type="cellIs" dxfId="73" priority="5" operator="greaterThan">
      <formula>$H$9</formula>
    </cfRule>
  </conditionalFormatting>
  <conditionalFormatting sqref="H2">
    <cfRule type="cellIs" dxfId="72" priority="6" operator="greaterThan">
      <formula>#REF!</formula>
    </cfRule>
  </conditionalFormatting>
  <conditionalFormatting sqref="E7:E20">
    <cfRule type="cellIs" dxfId="71" priority="4" operator="lessThan">
      <formula>0</formula>
    </cfRule>
  </conditionalFormatting>
  <conditionalFormatting sqref="E22:E25">
    <cfRule type="cellIs" dxfId="70" priority="3" operator="lessThan">
      <formula>0</formula>
    </cfRule>
  </conditionalFormatting>
  <conditionalFormatting sqref="H14">
    <cfRule type="cellIs" dxfId="69" priority="7" operator="greaterThan">
      <formula>$H$10</formula>
    </cfRule>
  </conditionalFormatting>
  <conditionalFormatting sqref="H13">
    <cfRule type="cellIs" dxfId="68" priority="2" operator="greaterThan">
      <formula>$H$9</formula>
    </cfRule>
  </conditionalFormatting>
  <conditionalFormatting sqref="H15">
    <cfRule type="cellIs" dxfId="67" priority="1" operator="greaterThan">
      <formula>$H$11</formula>
    </cfRule>
  </conditionalFormatting>
  <pageMargins left="0.7" right="0.7" top="0.75" bottom="0.75" header="0.3" footer="0.3"/>
  <pageSetup paperSize="9" orientation="landscape"/>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D4DAB2-F368-436D-B2AC-0D891FA4013E}">
  <sheetPr>
    <tabColor rgb="FF92D050"/>
    <pageSetUpPr fitToPage="1"/>
  </sheetPr>
  <dimension ref="A1:J29"/>
  <sheetViews>
    <sheetView workbookViewId="0">
      <selection activeCell="D11" sqref="D11"/>
    </sheetView>
  </sheetViews>
  <sheetFormatPr defaultRowHeight="15" outlineLevelRow="1"/>
  <cols>
    <col min="1" max="1" width="10" bestFit="1" customWidth="1"/>
    <col min="2" max="2" width="30.140625" bestFit="1" customWidth="1"/>
    <col min="3" max="3" width="14.85546875" customWidth="1"/>
    <col min="4" max="5" width="10.7109375" customWidth="1"/>
    <col min="6" max="6" width="7.140625" customWidth="1"/>
    <col min="7" max="7" width="35.7109375" customWidth="1"/>
    <col min="8" max="8" width="23.42578125" customWidth="1"/>
    <col min="9" max="9" width="15" customWidth="1"/>
    <col min="10" max="10" width="12.7109375" customWidth="1"/>
  </cols>
  <sheetData>
    <row r="1" spans="1:10" s="387" customFormat="1" ht="18.75">
      <c r="A1" s="377" t="s">
        <v>171</v>
      </c>
      <c r="B1" s="517" t="s">
        <v>172</v>
      </c>
      <c r="C1" s="517"/>
      <c r="D1" s="517"/>
      <c r="E1" s="517"/>
      <c r="G1" s="515" t="s">
        <v>173</v>
      </c>
      <c r="H1" s="515"/>
    </row>
    <row r="2" spans="1:10">
      <c r="G2" s="352"/>
      <c r="H2" s="353"/>
    </row>
    <row r="3" spans="1:10" ht="18.75" outlineLevel="1">
      <c r="B3" s="94" t="s">
        <v>27</v>
      </c>
      <c r="C3">
        <v>75.2</v>
      </c>
      <c r="D3" s="1">
        <f>C20/C3</f>
        <v>542.11422872340415</v>
      </c>
      <c r="G3" s="354" t="s">
        <v>28</v>
      </c>
      <c r="H3" s="356">
        <v>49600</v>
      </c>
      <c r="I3" s="351"/>
      <c r="J3">
        <f>24800/H3</f>
        <v>0.5</v>
      </c>
    </row>
    <row r="4" spans="1:10" ht="17.25" customHeight="1" outlineLevel="1">
      <c r="B4" s="94" t="s">
        <v>31</v>
      </c>
      <c r="C4">
        <f>38.93+17.25</f>
        <v>56.18</v>
      </c>
      <c r="G4" s="354" t="s">
        <v>32</v>
      </c>
      <c r="H4" s="355">
        <v>1858.66</v>
      </c>
      <c r="I4" s="320"/>
    </row>
    <row r="5" spans="1:10">
      <c r="B5" s="322" t="s">
        <v>34</v>
      </c>
      <c r="C5" s="43">
        <f>SUM(C3:C4)</f>
        <v>131.38</v>
      </c>
      <c r="D5" s="317">
        <f>C20/C5</f>
        <v>310.29829502207338</v>
      </c>
      <c r="G5" s="354" t="s">
        <v>35</v>
      </c>
      <c r="H5" s="355">
        <f>(H3+H4)*0.07</f>
        <v>3602.1062000000006</v>
      </c>
    </row>
    <row r="6" spans="1:10" ht="16.5" customHeight="1">
      <c r="A6" s="96"/>
      <c r="B6" s="345" t="s">
        <v>37</v>
      </c>
      <c r="C6" s="371" t="s">
        <v>38</v>
      </c>
      <c r="D6" s="362" t="s">
        <v>39</v>
      </c>
      <c r="E6" s="345" t="s">
        <v>40</v>
      </c>
      <c r="G6" s="354" t="s">
        <v>41</v>
      </c>
      <c r="H6" s="355">
        <f>H3+H4-D20-H5</f>
        <v>11730.219330324007</v>
      </c>
    </row>
    <row r="7" spans="1:10">
      <c r="A7" s="346">
        <v>1</v>
      </c>
      <c r="B7" s="97" t="s">
        <v>42</v>
      </c>
      <c r="C7" s="376">
        <v>22119.42</v>
      </c>
      <c r="D7" s="409">
        <f>(359*15.02+89.6*16.5+500+12.78*8.01-15*5*50)*1.48*1.2359+3750+350*5+(69.7*16.5+269.76*15.02-50*50)*1.48*1.2359+50*50+1222.5+855.75</f>
        <v>21830.044469675999</v>
      </c>
      <c r="E7" s="404">
        <f>C7-D7</f>
        <v>289.37553032399956</v>
      </c>
      <c r="H7" s="239">
        <f>H6/(H3+H4)</f>
        <v>0.22795423219967265</v>
      </c>
    </row>
    <row r="8" spans="1:10">
      <c r="A8" s="345">
        <f>A7+1</f>
        <v>2</v>
      </c>
      <c r="B8" s="96" t="s">
        <v>43</v>
      </c>
      <c r="C8" s="371">
        <v>7250.94</v>
      </c>
      <c r="D8" s="363">
        <f>B29+1965.68+313.35+297.91+1179.87+70.81+6.99+46.7+150.78+155.1+441+682.48+1222.5+215.64+649.64+12.9</f>
        <v>7411.35</v>
      </c>
      <c r="E8" s="96">
        <f t="shared" ref="E8:E23" si="0">C8-D8</f>
        <v>-160.41000000000076</v>
      </c>
    </row>
    <row r="9" spans="1:10">
      <c r="A9" s="345">
        <f t="shared" ref="A9:A19" si="1">A8+1</f>
        <v>3</v>
      </c>
      <c r="B9" s="96" t="s">
        <v>45</v>
      </c>
      <c r="C9" s="371">
        <v>3000</v>
      </c>
      <c r="D9" s="363">
        <f>1609.89+1263.25</f>
        <v>2873.1400000000003</v>
      </c>
      <c r="E9" s="96">
        <f t="shared" si="0"/>
        <v>126.85999999999967</v>
      </c>
      <c r="G9" s="369" t="s">
        <v>46</v>
      </c>
      <c r="H9" s="370">
        <f>C7/C25</f>
        <v>26.238932384341634</v>
      </c>
      <c r="J9" s="49"/>
    </row>
    <row r="10" spans="1:10">
      <c r="A10" s="345">
        <f t="shared" si="1"/>
        <v>4</v>
      </c>
      <c r="B10" s="96" t="s">
        <v>47</v>
      </c>
      <c r="C10" s="371">
        <v>1150</v>
      </c>
      <c r="D10" s="363">
        <f>145.13+102.37</f>
        <v>247.5</v>
      </c>
      <c r="E10" s="96">
        <f t="shared" si="0"/>
        <v>902.5</v>
      </c>
      <c r="G10" s="371" t="s">
        <v>48</v>
      </c>
      <c r="H10" s="372">
        <f>C25/C5</f>
        <v>6.4165017506469786</v>
      </c>
    </row>
    <row r="11" spans="1:10">
      <c r="A11" s="345">
        <f t="shared" si="1"/>
        <v>5</v>
      </c>
      <c r="B11" s="96" t="s">
        <v>49</v>
      </c>
      <c r="C11" s="371">
        <v>1500</v>
      </c>
      <c r="D11" s="410">
        <f>980.5+592.1+337.72/2</f>
        <v>1741.46</v>
      </c>
      <c r="E11" s="96">
        <f t="shared" si="0"/>
        <v>-241.46000000000004</v>
      </c>
      <c r="G11" s="371" t="s">
        <v>50</v>
      </c>
      <c r="H11" s="378">
        <f>H9*H10</f>
        <v>168.3621555792358</v>
      </c>
    </row>
    <row r="12" spans="1:10">
      <c r="A12" s="345">
        <f t="shared" si="1"/>
        <v>6</v>
      </c>
      <c r="B12" s="96" t="s">
        <v>80</v>
      </c>
      <c r="C12" s="371">
        <f>1000</f>
        <v>1000</v>
      </c>
      <c r="D12" s="363">
        <f>690+570+240</f>
        <v>1500</v>
      </c>
      <c r="E12" s="96">
        <f t="shared" si="0"/>
        <v>-500</v>
      </c>
    </row>
    <row r="13" spans="1:10">
      <c r="A13" s="345">
        <f t="shared" si="1"/>
        <v>7</v>
      </c>
      <c r="B13" s="96" t="s">
        <v>104</v>
      </c>
      <c r="C13" s="371">
        <v>0</v>
      </c>
      <c r="D13" s="363">
        <v>0</v>
      </c>
      <c r="E13" s="96">
        <f t="shared" si="0"/>
        <v>0</v>
      </c>
      <c r="G13" s="366" t="s">
        <v>55</v>
      </c>
      <c r="H13" s="367">
        <f>D7/D25</f>
        <v>27.585478757677919</v>
      </c>
    </row>
    <row r="14" spans="1:10">
      <c r="A14" s="345">
        <f t="shared" si="1"/>
        <v>8</v>
      </c>
      <c r="B14" s="96" t="s">
        <v>82</v>
      </c>
      <c r="C14" s="371">
        <v>0</v>
      </c>
      <c r="D14" s="363">
        <v>0</v>
      </c>
      <c r="E14" s="96">
        <f t="shared" si="0"/>
        <v>0</v>
      </c>
      <c r="G14" s="366" t="s">
        <v>57</v>
      </c>
      <c r="H14" s="368">
        <f>D25/C5</f>
        <v>6.0234434464910951</v>
      </c>
    </row>
    <row r="15" spans="1:10">
      <c r="A15" s="345">
        <f t="shared" si="1"/>
        <v>9</v>
      </c>
      <c r="B15" s="96" t="s">
        <v>83</v>
      </c>
      <c r="C15" s="371">
        <v>1100</v>
      </c>
      <c r="D15" s="363">
        <f>26.5+18</f>
        <v>44.5</v>
      </c>
      <c r="E15" s="96">
        <f t="shared" si="0"/>
        <v>1055.5</v>
      </c>
      <c r="G15" s="366" t="s">
        <v>59</v>
      </c>
      <c r="H15" s="374">
        <f>H14*H13</f>
        <v>166.15957124125438</v>
      </c>
    </row>
    <row r="16" spans="1:10">
      <c r="A16" s="345">
        <f t="shared" si="1"/>
        <v>10</v>
      </c>
      <c r="B16" s="96" t="s">
        <v>84</v>
      </c>
      <c r="C16" s="371">
        <f>9538.63-C9-C10-C11-C12-C15</f>
        <v>1788.6299999999992</v>
      </c>
      <c r="D16" s="363">
        <f>169.36+12.3+48+2.7+55.7+125+16.8+13.48+30.5+4.5</f>
        <v>478.34000000000003</v>
      </c>
      <c r="E16" s="96">
        <f t="shared" si="0"/>
        <v>1310.2899999999991</v>
      </c>
    </row>
    <row r="17" spans="1:9">
      <c r="A17" s="345">
        <f t="shared" si="1"/>
        <v>11</v>
      </c>
      <c r="B17" s="96" t="s">
        <v>85</v>
      </c>
      <c r="C17" s="371">
        <v>1858</v>
      </c>
      <c r="D17" s="363"/>
      <c r="E17" s="96">
        <f t="shared" si="0"/>
        <v>1858</v>
      </c>
      <c r="G17" s="375" t="s">
        <v>62</v>
      </c>
      <c r="H17" s="374">
        <f>(D7+D9+D11)/D25</f>
        <v>33.416706012024868</v>
      </c>
    </row>
    <row r="18" spans="1:9">
      <c r="A18" s="345">
        <f t="shared" si="1"/>
        <v>12</v>
      </c>
      <c r="B18" s="96" t="s">
        <v>86</v>
      </c>
      <c r="C18" s="371"/>
      <c r="D18" s="363"/>
      <c r="E18" s="96">
        <f t="shared" si="0"/>
        <v>0</v>
      </c>
      <c r="G18" s="366" t="s">
        <v>64</v>
      </c>
      <c r="H18" s="374">
        <f>1609.89/5/13</f>
        <v>24.767538461538461</v>
      </c>
    </row>
    <row r="19" spans="1:9">
      <c r="A19" s="345">
        <f t="shared" si="1"/>
        <v>13</v>
      </c>
      <c r="B19" s="96"/>
      <c r="C19" s="371"/>
      <c r="D19" s="363"/>
      <c r="E19" s="96">
        <f t="shared" si="0"/>
        <v>0</v>
      </c>
    </row>
    <row r="20" spans="1:9" ht="18.75">
      <c r="A20" s="96"/>
      <c r="B20" s="96" t="s">
        <v>66</v>
      </c>
      <c r="C20" s="371">
        <f>SUM(C7:C19)</f>
        <v>40766.99</v>
      </c>
      <c r="D20" s="402">
        <f>SUM(D7:D19)</f>
        <v>36126.334469675996</v>
      </c>
      <c r="E20" s="347">
        <f t="shared" si="0"/>
        <v>4640.655530324002</v>
      </c>
      <c r="F20" s="93"/>
      <c r="H20" s="1">
        <f>D20+H5</f>
        <v>39728.440669675998</v>
      </c>
    </row>
    <row r="21" spans="1:9" ht="15" customHeight="1">
      <c r="C21" s="43"/>
      <c r="D21" s="43"/>
      <c r="G21" s="43"/>
      <c r="H21" s="43"/>
      <c r="I21" s="357"/>
    </row>
    <row r="22" spans="1:9">
      <c r="B22" s="96" t="s">
        <v>67</v>
      </c>
      <c r="C22" s="373">
        <v>675</v>
      </c>
      <c r="D22" s="364">
        <f>359+269.76</f>
        <v>628.76</v>
      </c>
      <c r="E22" s="96">
        <f t="shared" si="0"/>
        <v>46.240000000000009</v>
      </c>
      <c r="I22" s="357"/>
    </row>
    <row r="23" spans="1:9" ht="15" customHeight="1">
      <c r="B23" s="96" t="s">
        <v>68</v>
      </c>
      <c r="C23" s="373">
        <v>168</v>
      </c>
      <c r="D23" s="364">
        <f>89.6+73</f>
        <v>162.6</v>
      </c>
      <c r="E23" s="96">
        <f t="shared" si="0"/>
        <v>5.4000000000000057</v>
      </c>
      <c r="I23" s="358"/>
    </row>
    <row r="24" spans="1:9">
      <c r="B24" s="96" t="s">
        <v>69</v>
      </c>
      <c r="C24" s="373"/>
      <c r="D24" s="364"/>
      <c r="E24" s="96"/>
      <c r="G24" s="359"/>
      <c r="H24" s="359"/>
      <c r="I24" s="359"/>
    </row>
    <row r="25" spans="1:9" ht="18.75">
      <c r="B25" s="96" t="s">
        <v>66</v>
      </c>
      <c r="C25" s="373">
        <f>SUM(C22:C24)</f>
        <v>843</v>
      </c>
      <c r="D25" s="364">
        <f t="shared" ref="D25:E25" si="2">SUM(D22:D24)</f>
        <v>791.36</v>
      </c>
      <c r="E25" s="347">
        <f t="shared" si="2"/>
        <v>51.640000000000015</v>
      </c>
      <c r="G25" s="360"/>
      <c r="H25" s="360"/>
      <c r="I25" s="360"/>
    </row>
    <row r="26" spans="1:9">
      <c r="A26" s="140"/>
      <c r="B26" s="272"/>
      <c r="C26" s="240"/>
      <c r="G26" s="360"/>
      <c r="H26" s="361"/>
      <c r="I26" s="361"/>
    </row>
    <row r="27" spans="1:9">
      <c r="A27" s="141"/>
      <c r="G27" s="43"/>
      <c r="H27" s="43"/>
      <c r="I27" s="43"/>
    </row>
    <row r="28" spans="1:9" ht="24.75" customHeight="1">
      <c r="G28" s="43"/>
      <c r="H28" s="43"/>
      <c r="I28" s="43"/>
    </row>
    <row r="29" spans="1:9">
      <c r="A29" t="s">
        <v>70</v>
      </c>
      <c r="B29" s="328">
        <f>SUM(B30:B35)</f>
        <v>0</v>
      </c>
    </row>
  </sheetData>
  <mergeCells count="2">
    <mergeCell ref="B1:E1"/>
    <mergeCell ref="G1:H1"/>
  </mergeCells>
  <conditionalFormatting sqref="H13">
    <cfRule type="cellIs" dxfId="66" priority="5" operator="greaterThan">
      <formula>$H$9</formula>
    </cfRule>
  </conditionalFormatting>
  <conditionalFormatting sqref="H2">
    <cfRule type="cellIs" dxfId="65" priority="6" operator="greaterThan">
      <formula>#REF!</formula>
    </cfRule>
  </conditionalFormatting>
  <conditionalFormatting sqref="E7:E20">
    <cfRule type="cellIs" dxfId="64" priority="4" operator="lessThan">
      <formula>0</formula>
    </cfRule>
  </conditionalFormatting>
  <conditionalFormatting sqref="E22:E25">
    <cfRule type="cellIs" dxfId="63" priority="3" operator="lessThan">
      <formula>0</formula>
    </cfRule>
  </conditionalFormatting>
  <conditionalFormatting sqref="H14">
    <cfRule type="cellIs" dxfId="62" priority="7" operator="greaterThan">
      <formula>$H$10</formula>
    </cfRule>
  </conditionalFormatting>
  <conditionalFormatting sqref="H13">
    <cfRule type="cellIs" dxfId="61" priority="2" operator="greaterThan">
      <formula>$H$9</formula>
    </cfRule>
  </conditionalFormatting>
  <conditionalFormatting sqref="H15">
    <cfRule type="cellIs" dxfId="60" priority="1" operator="greaterThan">
      <formula>$H$11</formula>
    </cfRule>
  </conditionalFormatting>
  <pageMargins left="0.7" right="0.7" top="0.75" bottom="0.75" header="0.3" footer="0.3"/>
  <pageSetup paperSize="9" orientation="landscape"/>
  <legacy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FAC21-4C81-42B7-B4D5-710F3706FADB}">
  <sheetPr>
    <tabColor rgb="FF92D050"/>
    <pageSetUpPr fitToPage="1"/>
  </sheetPr>
  <dimension ref="A1:J51"/>
  <sheetViews>
    <sheetView topLeftCell="A5" workbookViewId="0">
      <selection activeCell="E26" sqref="E26"/>
    </sheetView>
  </sheetViews>
  <sheetFormatPr defaultRowHeight="15" outlineLevelRow="1"/>
  <cols>
    <col min="1" max="1" width="10" bestFit="1" customWidth="1"/>
    <col min="2" max="2" width="30.140625" bestFit="1" customWidth="1"/>
    <col min="3" max="3" width="14.85546875" customWidth="1"/>
    <col min="4" max="5" width="10.7109375" customWidth="1"/>
    <col min="6" max="6" width="10" customWidth="1"/>
    <col min="7" max="7" width="35.7109375" customWidth="1"/>
    <col min="8" max="8" width="23.42578125" customWidth="1"/>
    <col min="9" max="9" width="15" customWidth="1"/>
    <col min="10" max="10" width="12.7109375" customWidth="1"/>
  </cols>
  <sheetData>
    <row r="1" spans="1:10" s="387" customFormat="1" ht="18.75">
      <c r="A1" s="377" t="s">
        <v>174</v>
      </c>
      <c r="B1" s="517" t="s">
        <v>175</v>
      </c>
      <c r="C1" s="517"/>
      <c r="D1" s="517"/>
      <c r="E1" s="517"/>
      <c r="G1" s="515" t="s">
        <v>176</v>
      </c>
      <c r="H1" s="515"/>
    </row>
    <row r="2" spans="1:10">
      <c r="G2" s="352"/>
      <c r="H2" s="353"/>
    </row>
    <row r="3" spans="1:10" ht="18.75" outlineLevel="1">
      <c r="B3" s="94" t="s">
        <v>27</v>
      </c>
      <c r="C3">
        <v>100</v>
      </c>
      <c r="D3" s="1">
        <f>C20/C3</f>
        <v>347.72720000000004</v>
      </c>
      <c r="G3" s="354" t="s">
        <v>28</v>
      </c>
      <c r="H3" s="356">
        <v>32248</v>
      </c>
      <c r="I3" s="351"/>
    </row>
    <row r="4" spans="1:10" ht="17.25" customHeight="1" outlineLevel="1">
      <c r="B4" s="94" t="s">
        <v>31</v>
      </c>
      <c r="G4" s="354" t="s">
        <v>32</v>
      </c>
      <c r="H4" s="355">
        <f>2009/2+2076.15+4859.49+4095.14</f>
        <v>12035.279999999999</v>
      </c>
      <c r="I4" s="320"/>
    </row>
    <row r="5" spans="1:10">
      <c r="B5" s="322" t="s">
        <v>34</v>
      </c>
      <c r="C5" s="43">
        <f>SUM(C3:C4)</f>
        <v>100</v>
      </c>
      <c r="D5" s="317">
        <f>C20/C5</f>
        <v>347.72720000000004</v>
      </c>
      <c r="G5" s="354" t="s">
        <v>35</v>
      </c>
      <c r="H5" s="355">
        <f>(H3+H4)*0.07</f>
        <v>3099.8296</v>
      </c>
    </row>
    <row r="6" spans="1:10" ht="16.5" customHeight="1">
      <c r="A6" s="96"/>
      <c r="B6" s="345" t="s">
        <v>37</v>
      </c>
      <c r="C6" s="371" t="s">
        <v>38</v>
      </c>
      <c r="D6" s="362" t="s">
        <v>39</v>
      </c>
      <c r="E6" s="345" t="s">
        <v>40</v>
      </c>
      <c r="G6" s="354" t="s">
        <v>41</v>
      </c>
      <c r="H6" s="355">
        <f>H3+H4-D20-H5</f>
        <v>19331.891375062412</v>
      </c>
    </row>
    <row r="7" spans="1:10">
      <c r="A7" s="346">
        <v>1</v>
      </c>
      <c r="B7" s="97" t="s">
        <v>42</v>
      </c>
      <c r="C7" s="417">
        <v>16097.12</v>
      </c>
      <c r="D7" s="409">
        <f>(D25*15.02-4200)*1.48*1.2359+4200</f>
        <v>13477.625288924799</v>
      </c>
      <c r="E7" s="404">
        <f>C7-D7</f>
        <v>2619.4947110752018</v>
      </c>
      <c r="H7" s="239">
        <f>H6/(H3+H4)</f>
        <v>0.43655057563627658</v>
      </c>
    </row>
    <row r="8" spans="1:10">
      <c r="A8" s="345">
        <f>A7+1</f>
        <v>2</v>
      </c>
      <c r="B8" s="96" t="s">
        <v>43</v>
      </c>
      <c r="C8" s="418">
        <v>5082.46</v>
      </c>
      <c r="D8" s="402">
        <f>F38+66.12+1203.67+1215.5-258.62</f>
        <v>4026.7713930121035</v>
      </c>
      <c r="E8" s="404">
        <f t="shared" ref="E8:E24" si="0">C8-D8</f>
        <v>1055.6886069878965</v>
      </c>
    </row>
    <row r="9" spans="1:10">
      <c r="A9" s="345">
        <f t="shared" ref="A9:A19" si="1">A8+1</f>
        <v>3</v>
      </c>
      <c r="B9" s="96" t="s">
        <v>45</v>
      </c>
      <c r="C9" s="418">
        <v>2400</v>
      </c>
      <c r="D9" s="402">
        <f>F30</f>
        <v>2009.591230874629</v>
      </c>
      <c r="E9" s="404">
        <f t="shared" si="0"/>
        <v>390.40876912537101</v>
      </c>
      <c r="G9" s="369" t="s">
        <v>46</v>
      </c>
      <c r="H9" s="370">
        <f>C7/C25</f>
        <v>27.110938947368421</v>
      </c>
      <c r="J9" s="49"/>
    </row>
    <row r="10" spans="1:10">
      <c r="A10" s="345">
        <f t="shared" si="1"/>
        <v>4</v>
      </c>
      <c r="B10" s="96" t="s">
        <v>47</v>
      </c>
      <c r="C10" s="418">
        <v>200</v>
      </c>
      <c r="D10" s="363">
        <v>158.16</v>
      </c>
      <c r="E10" s="96">
        <f t="shared" si="0"/>
        <v>41.84</v>
      </c>
      <c r="G10" s="371" t="s">
        <v>48</v>
      </c>
      <c r="H10" s="372">
        <f>C25/C5</f>
        <v>5.9375</v>
      </c>
    </row>
    <row r="11" spans="1:10">
      <c r="A11" s="345">
        <f t="shared" si="1"/>
        <v>5</v>
      </c>
      <c r="B11" s="96" t="s">
        <v>49</v>
      </c>
      <c r="C11" s="418">
        <f>350+250</f>
        <v>600</v>
      </c>
      <c r="D11" s="363">
        <f>431.98+9.05*2+635.7</f>
        <v>1085.7800000000002</v>
      </c>
      <c r="E11" s="96">
        <f t="shared" si="0"/>
        <v>-485.7800000000002</v>
      </c>
      <c r="G11" s="371" t="s">
        <v>50</v>
      </c>
      <c r="H11" s="378">
        <f>H9*H10</f>
        <v>160.97120000000001</v>
      </c>
    </row>
    <row r="12" spans="1:10">
      <c r="A12" s="345">
        <f t="shared" si="1"/>
        <v>6</v>
      </c>
      <c r="B12" s="96" t="s">
        <v>80</v>
      </c>
      <c r="C12" s="418">
        <v>250</v>
      </c>
      <c r="D12" s="363">
        <v>49.21</v>
      </c>
      <c r="E12" s="96">
        <f t="shared" si="0"/>
        <v>200.79</v>
      </c>
    </row>
    <row r="13" spans="1:10">
      <c r="A13" s="345">
        <f t="shared" si="1"/>
        <v>7</v>
      </c>
      <c r="B13" s="96" t="s">
        <v>104</v>
      </c>
      <c r="C13" s="418"/>
      <c r="D13" s="363"/>
      <c r="E13" s="96">
        <f t="shared" si="0"/>
        <v>0</v>
      </c>
      <c r="G13" s="366" t="s">
        <v>55</v>
      </c>
      <c r="H13" s="367">
        <f>D7/D25</f>
        <v>21.832477951345815</v>
      </c>
    </row>
    <row r="14" spans="1:10">
      <c r="A14" s="345">
        <f t="shared" si="1"/>
        <v>8</v>
      </c>
      <c r="B14" s="96" t="s">
        <v>82</v>
      </c>
      <c r="C14" s="418"/>
      <c r="D14" s="363"/>
      <c r="E14" s="96">
        <f t="shared" si="0"/>
        <v>0</v>
      </c>
      <c r="G14" s="366" t="s">
        <v>57</v>
      </c>
      <c r="H14" s="368">
        <f>D25/C5</f>
        <v>6.1732000000000005</v>
      </c>
    </row>
    <row r="15" spans="1:10">
      <c r="A15" s="345">
        <f t="shared" si="1"/>
        <v>9</v>
      </c>
      <c r="B15" s="96" t="s">
        <v>83</v>
      </c>
      <c r="C15" s="418">
        <v>700</v>
      </c>
      <c r="D15" s="402">
        <f>F47</f>
        <v>391.4711121260562</v>
      </c>
      <c r="E15" s="404">
        <f t="shared" si="0"/>
        <v>308.5288878739438</v>
      </c>
      <c r="G15" s="366" t="s">
        <v>59</v>
      </c>
      <c r="H15" s="374">
        <f>H14*H13</f>
        <v>134.77625288924798</v>
      </c>
    </row>
    <row r="16" spans="1:10">
      <c r="A16" s="345">
        <f t="shared" si="1"/>
        <v>10</v>
      </c>
      <c r="B16" s="96" t="s">
        <v>84</v>
      </c>
      <c r="C16" s="418">
        <f>4691.14-C15-C12-C11-C10-C9</f>
        <v>541.14000000000033</v>
      </c>
      <c r="D16" s="363">
        <f>104.96+253.39+185.6+109</f>
        <v>652.94999999999993</v>
      </c>
      <c r="E16" s="96">
        <f t="shared" si="0"/>
        <v>-111.8099999999996</v>
      </c>
    </row>
    <row r="17" spans="1:9">
      <c r="A17" s="345">
        <f t="shared" si="1"/>
        <v>11</v>
      </c>
      <c r="B17" s="96" t="s">
        <v>85</v>
      </c>
      <c r="C17" s="418">
        <v>3044</v>
      </c>
      <c r="D17" s="363"/>
      <c r="E17" s="96">
        <f t="shared" si="0"/>
        <v>3044</v>
      </c>
      <c r="G17" s="375" t="s">
        <v>62</v>
      </c>
      <c r="H17" s="374">
        <f>(D7+D9+D11)/D25</f>
        <v>26.846686515582562</v>
      </c>
    </row>
    <row r="18" spans="1:9">
      <c r="A18" s="345">
        <f t="shared" si="1"/>
        <v>12</v>
      </c>
      <c r="B18" s="96" t="s">
        <v>86</v>
      </c>
      <c r="C18" s="418">
        <v>1763</v>
      </c>
      <c r="D18" s="363"/>
      <c r="E18" s="96">
        <f t="shared" si="0"/>
        <v>1763</v>
      </c>
      <c r="G18" s="366" t="s">
        <v>64</v>
      </c>
      <c r="H18" s="374">
        <f>D9/6/15</f>
        <v>22.328791454162545</v>
      </c>
    </row>
    <row r="19" spans="1:9">
      <c r="A19" s="345">
        <f t="shared" si="1"/>
        <v>13</v>
      </c>
      <c r="B19" s="96" t="s">
        <v>177</v>
      </c>
      <c r="C19" s="418">
        <v>4095</v>
      </c>
      <c r="D19" s="363"/>
      <c r="E19" s="96">
        <f t="shared" si="0"/>
        <v>4095</v>
      </c>
    </row>
    <row r="20" spans="1:9" ht="18.75">
      <c r="A20" s="96"/>
      <c r="B20" s="96" t="s">
        <v>66</v>
      </c>
      <c r="C20" s="418">
        <f>SUM(C7:C19)</f>
        <v>34772.720000000001</v>
      </c>
      <c r="D20" s="402">
        <f>SUM(D7:D19)</f>
        <v>21851.559024937585</v>
      </c>
      <c r="E20" s="347">
        <f t="shared" si="0"/>
        <v>12921.160975062416</v>
      </c>
      <c r="F20" s="93"/>
      <c r="H20" s="1">
        <f>D20+H5</f>
        <v>24951.388624937586</v>
      </c>
    </row>
    <row r="21" spans="1:9" ht="15" customHeight="1">
      <c r="C21" s="43"/>
      <c r="D21" s="43"/>
      <c r="G21" s="43"/>
      <c r="H21" s="43"/>
      <c r="I21" s="357"/>
    </row>
    <row r="22" spans="1:9">
      <c r="B22" s="96" t="s">
        <v>67</v>
      </c>
      <c r="C22" s="373">
        <v>417.06</v>
      </c>
      <c r="D22" s="364">
        <f>567.95-117.41+36.82</f>
        <v>487.36000000000007</v>
      </c>
      <c r="E22" s="96">
        <f t="shared" si="0"/>
        <v>-70.300000000000068</v>
      </c>
      <c r="I22" s="357"/>
    </row>
    <row r="23" spans="1:9" ht="15" customHeight="1">
      <c r="B23" s="96" t="s">
        <v>68</v>
      </c>
      <c r="C23" s="373">
        <v>83.4</v>
      </c>
      <c r="D23" s="364">
        <f>117.41+12.55</f>
        <v>129.96</v>
      </c>
      <c r="E23" s="96">
        <f t="shared" si="0"/>
        <v>-46.56</v>
      </c>
      <c r="I23" s="358"/>
    </row>
    <row r="24" spans="1:9">
      <c r="B24" s="96" t="s">
        <v>69</v>
      </c>
      <c r="C24" s="373">
        <f>433.35-C22+77</f>
        <v>93.29000000000002</v>
      </c>
      <c r="D24" s="364"/>
      <c r="E24" s="96">
        <f t="shared" si="0"/>
        <v>93.29000000000002</v>
      </c>
      <c r="G24" s="359"/>
      <c r="H24" s="359"/>
      <c r="I24" s="359"/>
    </row>
    <row r="25" spans="1:9" ht="18.75">
      <c r="B25" s="96" t="s">
        <v>66</v>
      </c>
      <c r="C25" s="373">
        <f>SUM(C22:C24)</f>
        <v>593.75</v>
      </c>
      <c r="D25" s="364">
        <f t="shared" ref="D25:E25" si="2">SUM(D22:D24)</f>
        <v>617.32000000000005</v>
      </c>
      <c r="E25" s="347">
        <f>SUM(E22:E24)</f>
        <v>-23.57000000000005</v>
      </c>
      <c r="G25" s="360"/>
      <c r="H25" s="360"/>
      <c r="I25" s="360"/>
    </row>
    <row r="26" spans="1:9">
      <c r="A26" s="140"/>
      <c r="B26" s="272"/>
      <c r="C26" s="240"/>
      <c r="G26" s="360"/>
      <c r="H26" s="361"/>
      <c r="I26" s="361"/>
    </row>
    <row r="27" spans="1:9">
      <c r="A27" s="141"/>
      <c r="G27" s="43"/>
      <c r="H27" s="43"/>
      <c r="I27" s="43"/>
    </row>
    <row r="28" spans="1:9" ht="24.75" customHeight="1">
      <c r="G28" s="43"/>
      <c r="H28" s="43"/>
      <c r="I28" s="43"/>
    </row>
    <row r="29" spans="1:9" ht="27.75" customHeight="1">
      <c r="A29" t="s">
        <v>178</v>
      </c>
      <c r="F29">
        <v>10.9475</v>
      </c>
    </row>
    <row r="30" spans="1:9">
      <c r="A30" t="s">
        <v>179</v>
      </c>
      <c r="B30" t="s">
        <v>180</v>
      </c>
      <c r="C30">
        <v>50775</v>
      </c>
      <c r="D30">
        <v>18150</v>
      </c>
      <c r="E30" s="1">
        <f>D30/$F$29</f>
        <v>1657.9127654715689</v>
      </c>
      <c r="F30" s="1">
        <f>SUM(E30:E37)</f>
        <v>2009.591230874629</v>
      </c>
    </row>
    <row r="31" spans="1:9">
      <c r="C31">
        <v>50787</v>
      </c>
      <c r="D31">
        <v>3300</v>
      </c>
      <c r="E31" s="1">
        <f t="shared" ref="E31:E51" si="3">D31/$F$29</f>
        <v>301.43868463119435</v>
      </c>
    </row>
    <row r="32" spans="1:9">
      <c r="C32">
        <v>50844</v>
      </c>
      <c r="D32">
        <v>550</v>
      </c>
      <c r="E32" s="1">
        <f t="shared" si="3"/>
        <v>50.239780771865725</v>
      </c>
    </row>
    <row r="33" spans="1:6">
      <c r="E33" s="1">
        <f t="shared" si="3"/>
        <v>0</v>
      </c>
    </row>
    <row r="34" spans="1:6">
      <c r="E34" s="1">
        <f t="shared" si="3"/>
        <v>0</v>
      </c>
    </row>
    <row r="35" spans="1:6">
      <c r="E35" s="1">
        <f t="shared" si="3"/>
        <v>0</v>
      </c>
    </row>
    <row r="36" spans="1:6">
      <c r="E36" s="1">
        <f t="shared" si="3"/>
        <v>0</v>
      </c>
    </row>
    <row r="37" spans="1:6">
      <c r="A37" s="341"/>
      <c r="B37" s="341"/>
      <c r="C37" s="341"/>
      <c r="D37" s="341"/>
      <c r="E37" s="342">
        <f t="shared" si="3"/>
        <v>0</v>
      </c>
      <c r="F37" s="341"/>
    </row>
    <row r="38" spans="1:6">
      <c r="A38" t="s">
        <v>181</v>
      </c>
      <c r="B38" t="s">
        <v>130</v>
      </c>
      <c r="C38">
        <v>18988683</v>
      </c>
      <c r="D38">
        <v>7820.16</v>
      </c>
      <c r="E38" s="1">
        <f t="shared" si="3"/>
        <v>714.33295272893349</v>
      </c>
      <c r="F38" s="1">
        <f>SUM(E38:E46)</f>
        <v>1800.101393012103</v>
      </c>
    </row>
    <row r="39" spans="1:6">
      <c r="C39">
        <v>19036128</v>
      </c>
      <c r="D39">
        <v>11060.94</v>
      </c>
      <c r="E39" s="1">
        <f t="shared" si="3"/>
        <v>1010.3621831468372</v>
      </c>
    </row>
    <row r="40" spans="1:6">
      <c r="C40">
        <v>19127505</v>
      </c>
      <c r="D40">
        <v>508.8</v>
      </c>
      <c r="E40" s="1">
        <f t="shared" si="3"/>
        <v>46.476364466773241</v>
      </c>
    </row>
    <row r="41" spans="1:6">
      <c r="C41">
        <v>19256551</v>
      </c>
      <c r="D41">
        <v>3530.88</v>
      </c>
      <c r="E41" s="1">
        <f t="shared" si="3"/>
        <v>322.52843114866408</v>
      </c>
    </row>
    <row r="42" spans="1:6">
      <c r="C42">
        <v>19405455</v>
      </c>
      <c r="D42">
        <v>-3214.17</v>
      </c>
      <c r="E42" s="1">
        <f t="shared" si="3"/>
        <v>-293.59853847910483</v>
      </c>
    </row>
    <row r="43" spans="1:6">
      <c r="E43" s="1">
        <f t="shared" si="3"/>
        <v>0</v>
      </c>
    </row>
    <row r="44" spans="1:6">
      <c r="E44" s="1">
        <f t="shared" si="3"/>
        <v>0</v>
      </c>
    </row>
    <row r="45" spans="1:6">
      <c r="E45" s="1">
        <f t="shared" si="3"/>
        <v>0</v>
      </c>
    </row>
    <row r="46" spans="1:6">
      <c r="A46" s="341"/>
      <c r="B46" s="341"/>
      <c r="C46" s="341"/>
      <c r="D46" s="341"/>
      <c r="E46" s="342">
        <f t="shared" si="3"/>
        <v>0</v>
      </c>
      <c r="F46" s="341"/>
    </row>
    <row r="47" spans="1:6">
      <c r="A47" t="s">
        <v>182</v>
      </c>
      <c r="B47" t="s">
        <v>183</v>
      </c>
      <c r="C47">
        <v>163215692</v>
      </c>
      <c r="D47">
        <v>4285.63</v>
      </c>
      <c r="E47" s="1">
        <f t="shared" si="3"/>
        <v>391.4711121260562</v>
      </c>
      <c r="F47" s="1">
        <f>SUM(E47:E51)</f>
        <v>391.4711121260562</v>
      </c>
    </row>
    <row r="48" spans="1:6">
      <c r="E48" s="1">
        <f t="shared" si="3"/>
        <v>0</v>
      </c>
    </row>
    <row r="49" spans="5:5">
      <c r="E49" s="1">
        <f t="shared" si="3"/>
        <v>0</v>
      </c>
    </row>
    <row r="50" spans="5:5">
      <c r="E50" s="1">
        <f t="shared" si="3"/>
        <v>0</v>
      </c>
    </row>
    <row r="51" spans="5:5">
      <c r="E51" s="1">
        <f t="shared" si="3"/>
        <v>0</v>
      </c>
    </row>
  </sheetData>
  <mergeCells count="2">
    <mergeCell ref="B1:E1"/>
    <mergeCell ref="G1:H1"/>
  </mergeCells>
  <conditionalFormatting sqref="H13">
    <cfRule type="cellIs" dxfId="59" priority="5" operator="greaterThan">
      <formula>$H$9</formula>
    </cfRule>
  </conditionalFormatting>
  <conditionalFormatting sqref="H2">
    <cfRule type="cellIs" dxfId="58" priority="6" operator="greaterThan">
      <formula>#REF!</formula>
    </cfRule>
  </conditionalFormatting>
  <conditionalFormatting sqref="E7:E20">
    <cfRule type="cellIs" dxfId="57" priority="4" operator="lessThan">
      <formula>0</formula>
    </cfRule>
  </conditionalFormatting>
  <conditionalFormatting sqref="E22:E25">
    <cfRule type="cellIs" dxfId="56" priority="3" operator="lessThan">
      <formula>0</formula>
    </cfRule>
  </conditionalFormatting>
  <conditionalFormatting sqref="H14">
    <cfRule type="cellIs" dxfId="55" priority="7" operator="greaterThan">
      <formula>$H$10</formula>
    </cfRule>
  </conditionalFormatting>
  <conditionalFormatting sqref="H13">
    <cfRule type="cellIs" dxfId="54" priority="2" operator="greaterThan">
      <formula>$H$9</formula>
    </cfRule>
  </conditionalFormatting>
  <conditionalFormatting sqref="H15">
    <cfRule type="cellIs" dxfId="53" priority="1" operator="greaterThan">
      <formula>$H$11</formula>
    </cfRule>
  </conditionalFormatting>
  <pageMargins left="0.7" right="0.7" top="0.75" bottom="0.75" header="0.3" footer="0.3"/>
  <pageSetup paperSize="9" orientation="landscape"/>
  <legacy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97E5D6-033F-4BDC-A78A-B19FEB72131E}">
  <sheetPr>
    <tabColor rgb="FF92D050"/>
    <pageSetUpPr fitToPage="1"/>
  </sheetPr>
  <dimension ref="A1:J53"/>
  <sheetViews>
    <sheetView workbookViewId="0">
      <selection activeCell="L17" sqref="L17"/>
    </sheetView>
  </sheetViews>
  <sheetFormatPr defaultRowHeight="15" outlineLevelRow="1"/>
  <cols>
    <col min="1" max="1" width="10" bestFit="1" customWidth="1"/>
    <col min="2" max="2" width="30.140625" bestFit="1" customWidth="1"/>
    <col min="3" max="3" width="14.85546875" customWidth="1"/>
    <col min="4" max="5" width="10.7109375" customWidth="1"/>
    <col min="6" max="6" width="10.5703125" customWidth="1"/>
    <col min="7" max="7" width="35.7109375" customWidth="1"/>
    <col min="8" max="8" width="23.42578125" customWidth="1"/>
    <col min="9" max="9" width="15" customWidth="1"/>
    <col min="10" max="10" width="12.7109375" customWidth="1"/>
  </cols>
  <sheetData>
    <row r="1" spans="1:10" s="387" customFormat="1" ht="18.75">
      <c r="A1" s="377" t="s">
        <v>184</v>
      </c>
      <c r="B1" s="517" t="s">
        <v>185</v>
      </c>
      <c r="C1" s="517"/>
      <c r="D1" s="517"/>
      <c r="E1" s="517"/>
      <c r="G1" s="515" t="s">
        <v>186</v>
      </c>
      <c r="H1" s="515"/>
    </row>
    <row r="2" spans="1:10" ht="18.75">
      <c r="G2" s="352"/>
      <c r="H2" s="353"/>
      <c r="I2" s="387"/>
      <c r="J2" s="387"/>
    </row>
    <row r="3" spans="1:10" ht="18.75" outlineLevel="1">
      <c r="B3" s="94" t="s">
        <v>27</v>
      </c>
      <c r="C3">
        <v>64.78</v>
      </c>
      <c r="D3" s="1">
        <f>C21/C3</f>
        <v>500.60404445816607</v>
      </c>
      <c r="G3" s="354" t="s">
        <v>28</v>
      </c>
      <c r="H3" s="356">
        <f>311581.22/F30-0.13</f>
        <v>28721.003797299163</v>
      </c>
      <c r="I3" s="387"/>
      <c r="J3" s="387"/>
    </row>
    <row r="4" spans="1:10" ht="17.25" customHeight="1" outlineLevel="1">
      <c r="B4" s="94" t="s">
        <v>31</v>
      </c>
      <c r="G4" s="354" t="s">
        <v>32</v>
      </c>
      <c r="H4" s="355">
        <f>C18+2009/2+460.89</f>
        <v>15387.47</v>
      </c>
      <c r="I4" s="387"/>
      <c r="J4" s="387"/>
    </row>
    <row r="5" spans="1:10" ht="18.75">
      <c r="B5" s="322" t="s">
        <v>34</v>
      </c>
      <c r="C5" s="43">
        <f>SUM(C3:C4)</f>
        <v>64.78</v>
      </c>
      <c r="D5" s="317">
        <f>C21/C5</f>
        <v>500.60404445816607</v>
      </c>
      <c r="G5" s="354" t="s">
        <v>35</v>
      </c>
      <c r="H5" s="355">
        <f>(H3+H4)*0.07</f>
        <v>3087.5931658109416</v>
      </c>
      <c r="I5" s="387"/>
      <c r="J5" s="387"/>
    </row>
    <row r="6" spans="1:10" ht="16.5" customHeight="1">
      <c r="A6" s="96"/>
      <c r="B6" s="345" t="s">
        <v>37</v>
      </c>
      <c r="C6" s="371" t="s">
        <v>38</v>
      </c>
      <c r="D6" s="362" t="s">
        <v>39</v>
      </c>
      <c r="E6" s="345" t="s">
        <v>40</v>
      </c>
      <c r="G6" s="354" t="s">
        <v>41</v>
      </c>
      <c r="H6" s="355">
        <f>H3+H4-D21-H5</f>
        <v>22060.16101930181</v>
      </c>
      <c r="I6" s="387"/>
      <c r="J6" s="387"/>
    </row>
    <row r="7" spans="1:10" ht="18.75">
      <c r="A7" s="346">
        <v>1</v>
      </c>
      <c r="B7" s="97" t="s">
        <v>42</v>
      </c>
      <c r="C7" s="376">
        <v>10421.24</v>
      </c>
      <c r="D7" s="409">
        <f>((228.77+289.42-49.37)*15.02-1550-1650)*1.48*1.2359+1550+1650</f>
        <v>10226.933236884801</v>
      </c>
      <c r="E7" s="404">
        <f>C7-D7</f>
        <v>194.30676311519892</v>
      </c>
      <c r="H7" s="239">
        <f>H6/(H3+H4)</f>
        <v>0.50013430799441061</v>
      </c>
      <c r="I7" s="387"/>
      <c r="J7" s="387"/>
    </row>
    <row r="8" spans="1:10" ht="18.75">
      <c r="A8" s="345">
        <f>A7+1</f>
        <v>2</v>
      </c>
      <c r="B8" s="96" t="s">
        <v>43</v>
      </c>
      <c r="C8" s="371">
        <v>2954.79</v>
      </c>
      <c r="D8" s="402">
        <f>721.56+353.43+77.56+880.83+8313/10.825+47.67+906.95+119.76+109.74</f>
        <v>3985.444572748268</v>
      </c>
      <c r="E8" s="404">
        <f t="shared" ref="E8:E25" si="0">C8-D8</f>
        <v>-1030.654572748268</v>
      </c>
      <c r="I8" s="387"/>
      <c r="J8" s="387"/>
    </row>
    <row r="9" spans="1:10" ht="18.75">
      <c r="A9" s="345">
        <f t="shared" ref="A9:A20" si="1">A8+1</f>
        <v>3</v>
      </c>
      <c r="B9" s="96" t="s">
        <v>45</v>
      </c>
      <c r="C9" s="371">
        <v>2100</v>
      </c>
      <c r="D9" s="402">
        <f>F31</f>
        <v>2129.3266350186664</v>
      </c>
      <c r="E9" s="404">
        <f t="shared" si="0"/>
        <v>-29.326635018666366</v>
      </c>
      <c r="G9" s="369" t="s">
        <v>46</v>
      </c>
      <c r="H9" s="370">
        <f>C7/C26</f>
        <v>22.801592858393139</v>
      </c>
      <c r="I9" s="387"/>
      <c r="J9" s="387"/>
    </row>
    <row r="10" spans="1:10" ht="18.75">
      <c r="A10" s="345">
        <f t="shared" si="1"/>
        <v>4</v>
      </c>
      <c r="B10" s="96" t="s">
        <v>47</v>
      </c>
      <c r="C10" s="371">
        <v>250</v>
      </c>
      <c r="D10" s="363">
        <v>123.76</v>
      </c>
      <c r="E10" s="96">
        <f t="shared" si="0"/>
        <v>126.24</v>
      </c>
      <c r="G10" s="371" t="s">
        <v>48</v>
      </c>
      <c r="H10" s="372">
        <f>C26/C5</f>
        <v>7.0552639703612217</v>
      </c>
      <c r="I10" s="387"/>
      <c r="J10" s="387"/>
    </row>
    <row r="11" spans="1:10" ht="18.75">
      <c r="A11" s="345">
        <f t="shared" si="1"/>
        <v>5</v>
      </c>
      <c r="B11" s="96" t="s">
        <v>49</v>
      </c>
      <c r="C11" s="371">
        <v>500</v>
      </c>
      <c r="D11" s="363">
        <f>44.3+74.12+31.27+100.7+123.65+31.33+111.08</f>
        <v>516.44999999999993</v>
      </c>
      <c r="E11" s="96">
        <f t="shared" si="0"/>
        <v>-16.449999999999932</v>
      </c>
      <c r="G11" s="371" t="s">
        <v>50</v>
      </c>
      <c r="H11" s="378">
        <f>H9*H10</f>
        <v>160.87125656066686</v>
      </c>
      <c r="I11" s="387"/>
      <c r="J11" s="387"/>
    </row>
    <row r="12" spans="1:10" ht="18.75">
      <c r="A12" s="345">
        <f t="shared" si="1"/>
        <v>6</v>
      </c>
      <c r="B12" s="96" t="s">
        <v>80</v>
      </c>
      <c r="C12" s="371">
        <v>500</v>
      </c>
      <c r="D12" s="363"/>
      <c r="E12" s="96">
        <f t="shared" si="0"/>
        <v>500</v>
      </c>
      <c r="I12" s="387"/>
      <c r="J12" s="387"/>
    </row>
    <row r="13" spans="1:10" ht="18.75">
      <c r="A13" s="345">
        <f t="shared" si="1"/>
        <v>7</v>
      </c>
      <c r="B13" s="96" t="s">
        <v>187</v>
      </c>
      <c r="C13" s="371">
        <v>300</v>
      </c>
      <c r="D13" s="363">
        <f>32.26+31.74+20.38+12.13+8.56+6.84+19.12</f>
        <v>131.03</v>
      </c>
      <c r="E13" s="96">
        <f t="shared" si="0"/>
        <v>168.97</v>
      </c>
      <c r="I13" s="387"/>
      <c r="J13" s="387"/>
    </row>
    <row r="14" spans="1:10" ht="18.75">
      <c r="A14" s="345">
        <f t="shared" si="1"/>
        <v>8</v>
      </c>
      <c r="B14" s="96" t="s">
        <v>104</v>
      </c>
      <c r="C14" s="371">
        <v>0</v>
      </c>
      <c r="D14" s="363">
        <v>0</v>
      </c>
      <c r="E14" s="96">
        <f t="shared" si="0"/>
        <v>0</v>
      </c>
      <c r="G14" s="366" t="s">
        <v>55</v>
      </c>
      <c r="H14" s="367">
        <f>D7/D26</f>
        <v>21.89687022135703</v>
      </c>
      <c r="I14" s="387"/>
      <c r="J14" s="387"/>
    </row>
    <row r="15" spans="1:10" ht="18.75">
      <c r="A15" s="345">
        <f t="shared" si="1"/>
        <v>9</v>
      </c>
      <c r="B15" s="96" t="s">
        <v>188</v>
      </c>
      <c r="C15" s="371">
        <v>0</v>
      </c>
      <c r="D15" s="402">
        <f>F52</f>
        <v>875.69710098170253</v>
      </c>
      <c r="E15" s="96">
        <f t="shared" si="0"/>
        <v>-875.69710098170253</v>
      </c>
      <c r="G15" s="366" t="s">
        <v>57</v>
      </c>
      <c r="H15" s="368">
        <f>D26/C5</f>
        <v>7.2097869712874347</v>
      </c>
      <c r="I15" s="387"/>
      <c r="J15" s="387"/>
    </row>
    <row r="16" spans="1:10" ht="18.75">
      <c r="A16" s="345">
        <f t="shared" si="1"/>
        <v>10</v>
      </c>
      <c r="B16" s="96" t="s">
        <v>83</v>
      </c>
      <c r="C16" s="371">
        <v>815</v>
      </c>
      <c r="D16" s="402">
        <f>F47</f>
        <v>564.34806655297962</v>
      </c>
      <c r="E16" s="404">
        <f t="shared" si="0"/>
        <v>250.65193344702038</v>
      </c>
      <c r="G16" s="366" t="s">
        <v>59</v>
      </c>
      <c r="H16" s="374">
        <f>H15*H14</f>
        <v>157.87176963391173</v>
      </c>
      <c r="I16" s="387"/>
      <c r="J16" s="387"/>
    </row>
    <row r="17" spans="1:10" ht="18.75">
      <c r="A17" s="345">
        <f t="shared" si="1"/>
        <v>11</v>
      </c>
      <c r="B17" s="96" t="s">
        <v>84</v>
      </c>
      <c r="C17" s="371">
        <f>5131.02-C9-C10-C11-C12-C13-C14-C15-C16</f>
        <v>666.02000000000044</v>
      </c>
      <c r="D17" s="363">
        <f>90+58.36+255.59+3.78</f>
        <v>407.73</v>
      </c>
      <c r="E17" s="96">
        <f t="shared" si="0"/>
        <v>258.29000000000042</v>
      </c>
      <c r="I17" s="387"/>
      <c r="J17" s="387"/>
    </row>
    <row r="18" spans="1:10" ht="18.75">
      <c r="A18" s="345">
        <f t="shared" si="1"/>
        <v>12</v>
      </c>
      <c r="B18" s="96" t="s">
        <v>85</v>
      </c>
      <c r="C18" s="405">
        <v>13922.08</v>
      </c>
      <c r="D18" s="363"/>
      <c r="E18" s="96">
        <f t="shared" si="0"/>
        <v>13922.08</v>
      </c>
      <c r="G18" s="375" t="s">
        <v>62</v>
      </c>
      <c r="H18" s="374">
        <f>(D7+D9+D11)/D26</f>
        <v>27.561738297620099</v>
      </c>
      <c r="I18" s="387"/>
      <c r="J18" s="387"/>
    </row>
    <row r="19" spans="1:10" ht="18.75">
      <c r="A19" s="345">
        <f t="shared" si="1"/>
        <v>13</v>
      </c>
      <c r="B19" s="96" t="s">
        <v>86</v>
      </c>
      <c r="C19" s="371"/>
      <c r="D19" s="363"/>
      <c r="E19" s="96">
        <f t="shared" si="0"/>
        <v>0</v>
      </c>
      <c r="G19" s="366" t="s">
        <v>64</v>
      </c>
      <c r="H19" s="374">
        <f>D9/6/14</f>
        <v>25.349126607365076</v>
      </c>
      <c r="I19" s="387"/>
      <c r="J19" s="387"/>
    </row>
    <row r="20" spans="1:10" ht="18.75">
      <c r="A20" s="345">
        <f t="shared" si="1"/>
        <v>14</v>
      </c>
      <c r="B20" s="96"/>
      <c r="C20" s="371"/>
      <c r="D20" s="363"/>
      <c r="E20" s="96">
        <f t="shared" si="0"/>
        <v>0</v>
      </c>
      <c r="I20" s="387"/>
      <c r="J20" s="387"/>
    </row>
    <row r="21" spans="1:10" ht="18.75">
      <c r="A21" s="96"/>
      <c r="B21" s="96" t="s">
        <v>66</v>
      </c>
      <c r="C21" s="371">
        <f>SUM(C7:C20)</f>
        <v>32429.129999999997</v>
      </c>
      <c r="D21" s="402">
        <f>SUM(D7:D20)</f>
        <v>18960.719612186414</v>
      </c>
      <c r="E21" s="347">
        <f t="shared" si="0"/>
        <v>13468.410387813583</v>
      </c>
      <c r="H21" s="1">
        <f>D21+H5</f>
        <v>22048.312777997355</v>
      </c>
      <c r="I21" s="387"/>
      <c r="J21" s="387"/>
    </row>
    <row r="22" spans="1:10" ht="15" customHeight="1">
      <c r="C22" s="379"/>
      <c r="D22" s="43"/>
      <c r="I22" s="387"/>
      <c r="J22" s="387"/>
    </row>
    <row r="23" spans="1:10" ht="18.75">
      <c r="B23" s="96" t="s">
        <v>67</v>
      </c>
      <c r="C23" s="371">
        <v>366.34</v>
      </c>
      <c r="D23" s="382">
        <f>198+238.2-36.82</f>
        <v>399.38</v>
      </c>
      <c r="E23" s="345">
        <f t="shared" si="0"/>
        <v>-33.04000000000002</v>
      </c>
      <c r="I23" s="387"/>
      <c r="J23" s="387"/>
    </row>
    <row r="24" spans="1:10" ht="15" customHeight="1">
      <c r="B24" s="96" t="s">
        <v>68</v>
      </c>
      <c r="C24" s="371">
        <v>73</v>
      </c>
      <c r="D24" s="382">
        <f>29+38.15+13.07-12.55</f>
        <v>67.67</v>
      </c>
      <c r="E24" s="345">
        <f t="shared" si="0"/>
        <v>5.3299999999999983</v>
      </c>
    </row>
    <row r="25" spans="1:10">
      <c r="B25" s="96" t="s">
        <v>69</v>
      </c>
      <c r="C25" s="371">
        <v>17.7</v>
      </c>
      <c r="D25" s="382"/>
      <c r="E25" s="345">
        <f t="shared" si="0"/>
        <v>17.7</v>
      </c>
    </row>
    <row r="26" spans="1:10" ht="18.75">
      <c r="B26" s="96" t="s">
        <v>66</v>
      </c>
      <c r="C26" s="371">
        <f>SUM(C23:C25)</f>
        <v>457.03999999999996</v>
      </c>
      <c r="D26" s="382">
        <f t="shared" ref="D26:E26" si="2">SUM(D23:D25)</f>
        <v>467.05</v>
      </c>
      <c r="E26" s="347">
        <f t="shared" si="2"/>
        <v>-10.010000000000023</v>
      </c>
    </row>
    <row r="29" spans="1:10" ht="24.75" customHeight="1"/>
    <row r="30" spans="1:10" ht="27.75" customHeight="1">
      <c r="A30" t="s">
        <v>178</v>
      </c>
      <c r="F30">
        <v>10.8485</v>
      </c>
    </row>
    <row r="31" spans="1:10">
      <c r="A31" t="s">
        <v>179</v>
      </c>
      <c r="B31" t="s">
        <v>180</v>
      </c>
      <c r="C31">
        <v>50616</v>
      </c>
      <c r="D31">
        <v>14850</v>
      </c>
      <c r="E31" s="1">
        <f t="shared" ref="E31" si="3">D31/$F$30</f>
        <v>1368.852836797714</v>
      </c>
      <c r="F31" s="1">
        <f>SUM(E31:E38)</f>
        <v>2129.3266350186664</v>
      </c>
    </row>
    <row r="32" spans="1:10">
      <c r="C32">
        <v>50667</v>
      </c>
      <c r="D32">
        <v>8250</v>
      </c>
      <c r="E32" s="1">
        <f t="shared" ref="E32:E53" si="4">D32/$F$30</f>
        <v>760.47379822095229</v>
      </c>
    </row>
    <row r="33" spans="1:6">
      <c r="E33" s="1">
        <f t="shared" si="4"/>
        <v>0</v>
      </c>
    </row>
    <row r="34" spans="1:6">
      <c r="E34" s="1">
        <f t="shared" si="4"/>
        <v>0</v>
      </c>
    </row>
    <row r="35" spans="1:6">
      <c r="E35" s="1">
        <f t="shared" si="4"/>
        <v>0</v>
      </c>
    </row>
    <row r="36" spans="1:6">
      <c r="E36" s="1">
        <f t="shared" si="4"/>
        <v>0</v>
      </c>
    </row>
    <row r="37" spans="1:6">
      <c r="E37" s="1">
        <f t="shared" si="4"/>
        <v>0</v>
      </c>
    </row>
    <row r="38" spans="1:6">
      <c r="A38" s="341"/>
      <c r="B38" s="341"/>
      <c r="C38" s="341"/>
      <c r="D38" s="341"/>
      <c r="E38" s="342">
        <f t="shared" si="4"/>
        <v>0</v>
      </c>
      <c r="F38" s="341"/>
    </row>
    <row r="39" spans="1:6">
      <c r="A39" t="s">
        <v>181</v>
      </c>
      <c r="B39" t="s">
        <v>130</v>
      </c>
      <c r="C39">
        <v>18617860</v>
      </c>
      <c r="E39" s="1">
        <f t="shared" si="4"/>
        <v>0</v>
      </c>
      <c r="F39" s="1">
        <f>SUM(E39:E46)</f>
        <v>2094.9246439599942</v>
      </c>
    </row>
    <row r="40" spans="1:6">
      <c r="C40">
        <v>18672774</v>
      </c>
      <c r="D40">
        <v>16023.23</v>
      </c>
      <c r="E40" s="1">
        <f t="shared" si="4"/>
        <v>1476.99958519611</v>
      </c>
    </row>
    <row r="41" spans="1:6">
      <c r="C41">
        <v>18862193</v>
      </c>
      <c r="D41">
        <v>2683.09</v>
      </c>
      <c r="E41" s="1">
        <f t="shared" si="4"/>
        <v>247.3235931234733</v>
      </c>
    </row>
    <row r="42" spans="1:6">
      <c r="C42">
        <v>18970665</v>
      </c>
      <c r="D42">
        <v>557.27</v>
      </c>
      <c r="E42" s="1">
        <f t="shared" si="4"/>
        <v>51.368391943586673</v>
      </c>
    </row>
    <row r="43" spans="1:6">
      <c r="C43">
        <v>18988675</v>
      </c>
      <c r="D43">
        <v>3463.2</v>
      </c>
      <c r="E43" s="1">
        <f t="shared" si="4"/>
        <v>319.23307369682442</v>
      </c>
    </row>
    <row r="44" spans="1:6">
      <c r="E44" s="1">
        <f t="shared" si="4"/>
        <v>0</v>
      </c>
    </row>
    <row r="45" spans="1:6">
      <c r="E45" s="1">
        <f t="shared" si="4"/>
        <v>0</v>
      </c>
    </row>
    <row r="46" spans="1:6">
      <c r="A46" s="341"/>
      <c r="B46" s="341"/>
      <c r="C46" s="341"/>
      <c r="D46" s="341"/>
      <c r="E46" s="342">
        <f t="shared" si="4"/>
        <v>0</v>
      </c>
      <c r="F46" s="341"/>
    </row>
    <row r="47" spans="1:6">
      <c r="A47" t="s">
        <v>182</v>
      </c>
      <c r="B47" t="s">
        <v>183</v>
      </c>
      <c r="C47">
        <v>162398390</v>
      </c>
      <c r="D47">
        <v>2448.9299999999998</v>
      </c>
      <c r="E47" s="1">
        <f t="shared" si="4"/>
        <v>225.73904226390744</v>
      </c>
      <c r="F47" s="1">
        <f>SUM(E47:E51)</f>
        <v>564.34806655297962</v>
      </c>
    </row>
    <row r="48" spans="1:6">
      <c r="C48">
        <v>162710495</v>
      </c>
      <c r="D48">
        <v>3673.4</v>
      </c>
      <c r="E48" s="1">
        <f t="shared" si="4"/>
        <v>338.60902428907224</v>
      </c>
    </row>
    <row r="49" spans="1:6">
      <c r="E49" s="1">
        <f t="shared" si="4"/>
        <v>0</v>
      </c>
    </row>
    <row r="50" spans="1:6">
      <c r="E50" s="1">
        <f t="shared" si="4"/>
        <v>0</v>
      </c>
    </row>
    <row r="51" spans="1:6">
      <c r="E51" s="1">
        <f t="shared" si="4"/>
        <v>0</v>
      </c>
    </row>
    <row r="52" spans="1:6">
      <c r="A52" t="s">
        <v>189</v>
      </c>
      <c r="B52" t="s">
        <v>190</v>
      </c>
      <c r="C52">
        <v>25004</v>
      </c>
      <c r="D52">
        <v>9500</v>
      </c>
      <c r="E52" s="1">
        <f t="shared" si="4"/>
        <v>875.69710098170253</v>
      </c>
      <c r="F52" s="1">
        <f>E52</f>
        <v>875.69710098170253</v>
      </c>
    </row>
    <row r="53" spans="1:6">
      <c r="E53" s="1">
        <f t="shared" si="4"/>
        <v>0</v>
      </c>
    </row>
  </sheetData>
  <mergeCells count="2">
    <mergeCell ref="B1:E1"/>
    <mergeCell ref="G1:H1"/>
  </mergeCells>
  <conditionalFormatting sqref="H14">
    <cfRule type="cellIs" dxfId="52" priority="5" operator="greaterThan">
      <formula>$H$9</formula>
    </cfRule>
  </conditionalFormatting>
  <conditionalFormatting sqref="H2">
    <cfRule type="cellIs" dxfId="51" priority="6" operator="greaterThan">
      <formula>#REF!</formula>
    </cfRule>
  </conditionalFormatting>
  <conditionalFormatting sqref="E7:E21">
    <cfRule type="cellIs" dxfId="50" priority="4" operator="lessThan">
      <formula>0</formula>
    </cfRule>
  </conditionalFormatting>
  <conditionalFormatting sqref="E23:E26">
    <cfRule type="cellIs" dxfId="49" priority="3" operator="lessThan">
      <formula>0</formula>
    </cfRule>
  </conditionalFormatting>
  <conditionalFormatting sqref="H15">
    <cfRule type="cellIs" dxfId="48" priority="7" operator="greaterThan">
      <formula>$H$10</formula>
    </cfRule>
  </conditionalFormatting>
  <conditionalFormatting sqref="H14">
    <cfRule type="cellIs" dxfId="47" priority="2" operator="greaterThan">
      <formula>$H$9</formula>
    </cfRule>
  </conditionalFormatting>
  <conditionalFormatting sqref="H16">
    <cfRule type="cellIs" dxfId="46" priority="1" operator="greaterThan">
      <formula>$H$11</formula>
    </cfRule>
  </conditionalFormatting>
  <pageMargins left="0.7" right="0.7" top="0.75" bottom="0.75" header="0.3" footer="0.3"/>
  <pageSetup paperSize="9" orientation="landscape"/>
  <legacy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87F236-335C-4271-9B09-F4DEB12C1A9B}">
  <sheetPr>
    <tabColor rgb="FF92D050"/>
    <pageSetUpPr fitToPage="1"/>
  </sheetPr>
  <dimension ref="A1:J53"/>
  <sheetViews>
    <sheetView workbookViewId="0">
      <selection activeCell="H22" sqref="H22"/>
    </sheetView>
  </sheetViews>
  <sheetFormatPr defaultRowHeight="15" outlineLevelRow="1"/>
  <cols>
    <col min="1" max="1" width="10" bestFit="1" customWidth="1"/>
    <col min="2" max="2" width="30.140625" bestFit="1" customWidth="1"/>
    <col min="3" max="3" width="14.85546875" customWidth="1"/>
    <col min="4" max="4" width="10.7109375" customWidth="1"/>
    <col min="5" max="5" width="12" customWidth="1"/>
    <col min="6" max="6" width="8.42578125" customWidth="1"/>
    <col min="7" max="7" width="35.7109375" customWidth="1"/>
    <col min="8" max="8" width="15.85546875" customWidth="1"/>
    <col min="9" max="9" width="15" customWidth="1"/>
    <col min="10" max="10" width="12.7109375" customWidth="1"/>
  </cols>
  <sheetData>
    <row r="1" spans="1:10" s="387" customFormat="1" ht="18.75">
      <c r="A1" s="377" t="s">
        <v>191</v>
      </c>
      <c r="B1" s="517" t="s">
        <v>192</v>
      </c>
      <c r="C1" s="517"/>
      <c r="D1" s="517"/>
      <c r="E1" s="517"/>
      <c r="G1" s="515" t="s">
        <v>193</v>
      </c>
      <c r="H1" s="515"/>
    </row>
    <row r="2" spans="1:10">
      <c r="G2" s="352"/>
      <c r="H2" s="353"/>
    </row>
    <row r="3" spans="1:10" ht="18.75" outlineLevel="1">
      <c r="B3" s="94" t="s">
        <v>27</v>
      </c>
      <c r="C3">
        <v>63</v>
      </c>
      <c r="D3" s="1">
        <f>C21/C3</f>
        <v>348.06825396825388</v>
      </c>
      <c r="G3" s="354" t="s">
        <v>28</v>
      </c>
      <c r="H3" s="356">
        <v>29275</v>
      </c>
      <c r="I3" s="351"/>
    </row>
    <row r="4" spans="1:10" ht="17.25" customHeight="1" outlineLevel="1">
      <c r="B4" s="94" t="s">
        <v>31</v>
      </c>
      <c r="G4" s="354" t="s">
        <v>32</v>
      </c>
      <c r="H4" s="355"/>
      <c r="I4" s="320"/>
    </row>
    <row r="5" spans="1:10">
      <c r="B5" s="322" t="s">
        <v>34</v>
      </c>
      <c r="C5" s="43">
        <f>SUM(C3:C4)</f>
        <v>63</v>
      </c>
      <c r="D5" s="317">
        <f>C21/C5</f>
        <v>348.06825396825388</v>
      </c>
      <c r="G5" s="354" t="s">
        <v>35</v>
      </c>
      <c r="H5" s="355">
        <f>(H3+H4)*0.07</f>
        <v>2049.25</v>
      </c>
    </row>
    <row r="6" spans="1:10" ht="16.5" customHeight="1">
      <c r="A6" s="96"/>
      <c r="B6" s="345" t="s">
        <v>37</v>
      </c>
      <c r="C6" s="371" t="s">
        <v>38</v>
      </c>
      <c r="D6" s="362" t="s">
        <v>39</v>
      </c>
      <c r="E6" s="345" t="s">
        <v>40</v>
      </c>
      <c r="G6" s="354" t="s">
        <v>41</v>
      </c>
      <c r="H6" s="355">
        <f>H3+H4-D21-H5</f>
        <v>14268.891274851752</v>
      </c>
    </row>
    <row r="7" spans="1:10">
      <c r="A7" s="346">
        <v>1</v>
      </c>
      <c r="B7" s="97" t="s">
        <v>42</v>
      </c>
      <c r="C7" s="376">
        <v>8431.15</v>
      </c>
      <c r="D7" s="403">
        <f>(289*15.02+16.02*70-2700)*1.48*1.2359+2700</f>
        <v>7752.3918277599987</v>
      </c>
      <c r="E7" s="381">
        <f>C7-D7</f>
        <v>678.75817224000093</v>
      </c>
      <c r="H7" s="239">
        <f>H6/(H3+H4)</f>
        <v>0.48740875405129813</v>
      </c>
    </row>
    <row r="8" spans="1:10">
      <c r="A8" s="345">
        <f>A7+1</f>
        <v>2</v>
      </c>
      <c r="B8" s="96" t="s">
        <v>43</v>
      </c>
      <c r="C8" s="371">
        <v>4620.41</v>
      </c>
      <c r="D8" s="380">
        <f>387.92+F39+800.92+50.08+36.84+66.12</f>
        <v>1877.4329719783591</v>
      </c>
      <c r="E8" s="381">
        <f t="shared" ref="E8:E24" si="0">C8-D8</f>
        <v>2742.9770280216408</v>
      </c>
    </row>
    <row r="9" spans="1:10">
      <c r="A9" s="345">
        <f t="shared" ref="A9:A20" si="1">A8+1</f>
        <v>3</v>
      </c>
      <c r="B9" s="96" t="s">
        <v>45</v>
      </c>
      <c r="C9" s="378">
        <v>2100</v>
      </c>
      <c r="D9" s="380">
        <f>F31</f>
        <v>755.23860962860567</v>
      </c>
      <c r="E9" s="381">
        <f t="shared" si="0"/>
        <v>1344.7613903713943</v>
      </c>
      <c r="G9" s="369" t="s">
        <v>46</v>
      </c>
      <c r="H9" s="370">
        <f>C7/C26</f>
        <v>24.106907988791672</v>
      </c>
      <c r="J9" s="49"/>
    </row>
    <row r="10" spans="1:10">
      <c r="A10" s="345">
        <f t="shared" si="1"/>
        <v>4</v>
      </c>
      <c r="B10" s="96" t="s">
        <v>47</v>
      </c>
      <c r="C10" s="378">
        <v>500</v>
      </c>
      <c r="D10" s="362">
        <v>123.76</v>
      </c>
      <c r="E10" s="381">
        <f t="shared" si="0"/>
        <v>376.24</v>
      </c>
      <c r="G10" s="371" t="s">
        <v>48</v>
      </c>
      <c r="H10" s="372">
        <f>C26/C5</f>
        <v>5.5514285714285716</v>
      </c>
    </row>
    <row r="11" spans="1:10">
      <c r="A11" s="345">
        <f t="shared" si="1"/>
        <v>5</v>
      </c>
      <c r="B11" s="96" t="s">
        <v>49</v>
      </c>
      <c r="C11" s="378">
        <v>2800</v>
      </c>
      <c r="D11" s="362">
        <f>870.9+35.6+73.01</f>
        <v>979.51</v>
      </c>
      <c r="E11" s="381">
        <f t="shared" si="0"/>
        <v>1820.49</v>
      </c>
      <c r="G11" s="371" t="s">
        <v>50</v>
      </c>
      <c r="H11" s="378">
        <f>H9*H10</f>
        <v>133.82777777777778</v>
      </c>
    </row>
    <row r="12" spans="1:10">
      <c r="A12" s="345">
        <f t="shared" si="1"/>
        <v>6</v>
      </c>
      <c r="B12" s="96" t="s">
        <v>80</v>
      </c>
      <c r="C12" s="378">
        <v>500</v>
      </c>
      <c r="D12" s="362">
        <v>80</v>
      </c>
      <c r="E12" s="381">
        <f t="shared" si="0"/>
        <v>420</v>
      </c>
    </row>
    <row r="13" spans="1:10">
      <c r="A13" s="345">
        <f t="shared" si="1"/>
        <v>7</v>
      </c>
      <c r="B13" s="96" t="s">
        <v>187</v>
      </c>
      <c r="C13" s="378">
        <v>300</v>
      </c>
      <c r="D13" s="362">
        <v>139.21</v>
      </c>
      <c r="E13" s="381">
        <f t="shared" si="0"/>
        <v>160.79</v>
      </c>
    </row>
    <row r="14" spans="1:10">
      <c r="A14" s="345">
        <f t="shared" si="1"/>
        <v>8</v>
      </c>
      <c r="B14" s="96" t="s">
        <v>104</v>
      </c>
      <c r="C14" s="378">
        <v>0</v>
      </c>
      <c r="D14" s="362">
        <v>0</v>
      </c>
      <c r="E14" s="381">
        <f t="shared" si="0"/>
        <v>0</v>
      </c>
      <c r="G14" s="366" t="s">
        <v>55</v>
      </c>
      <c r="H14" s="367">
        <f>D7/D26</f>
        <v>21.594406205459606</v>
      </c>
    </row>
    <row r="15" spans="1:10">
      <c r="A15" s="345">
        <f t="shared" si="1"/>
        <v>9</v>
      </c>
      <c r="B15" s="96" t="s">
        <v>82</v>
      </c>
      <c r="C15" s="378">
        <v>0</v>
      </c>
      <c r="D15" s="362">
        <v>0</v>
      </c>
      <c r="E15" s="381">
        <f t="shared" si="0"/>
        <v>0</v>
      </c>
      <c r="G15" s="366" t="s">
        <v>57</v>
      </c>
      <c r="H15" s="368">
        <f>D26/C5</f>
        <v>5.6984126984126986</v>
      </c>
    </row>
    <row r="16" spans="1:10">
      <c r="A16" s="345">
        <f t="shared" si="1"/>
        <v>10</v>
      </c>
      <c r="B16" s="96" t="s">
        <v>83</v>
      </c>
      <c r="C16" s="378">
        <v>800</v>
      </c>
      <c r="D16" s="380">
        <f>F48</f>
        <v>205.05872552340324</v>
      </c>
      <c r="E16" s="381">
        <f t="shared" si="0"/>
        <v>594.94127447659673</v>
      </c>
      <c r="G16" s="366" t="s">
        <v>59</v>
      </c>
      <c r="H16" s="374">
        <f>H15*H14</f>
        <v>123.053838535873</v>
      </c>
    </row>
    <row r="17" spans="1:9">
      <c r="A17" s="345">
        <f t="shared" si="1"/>
        <v>11</v>
      </c>
      <c r="B17" s="96" t="s">
        <v>84</v>
      </c>
      <c r="C17" s="378">
        <f>8876.74-C9-C10-C11-C12-C13-C14-C15-C16</f>
        <v>1876.7399999999998</v>
      </c>
      <c r="D17" s="380">
        <f>102.71+163.52+462.36+20.41+37.66+39.12+75+58.36+18.68+23.34-139.21+125+F53</f>
        <v>1044.2565902578797</v>
      </c>
      <c r="E17" s="381">
        <f t="shared" si="0"/>
        <v>832.4834097421201</v>
      </c>
    </row>
    <row r="18" spans="1:9">
      <c r="A18" s="345">
        <f t="shared" si="1"/>
        <v>12</v>
      </c>
      <c r="B18" s="96" t="s">
        <v>85</v>
      </c>
      <c r="C18" s="371"/>
      <c r="D18" s="362"/>
      <c r="E18" s="345">
        <f t="shared" si="0"/>
        <v>0</v>
      </c>
      <c r="G18" s="375" t="s">
        <v>62</v>
      </c>
      <c r="H18" s="374">
        <f>(D7+D9+D11)/D26</f>
        <v>26.426575034508648</v>
      </c>
    </row>
    <row r="19" spans="1:9">
      <c r="A19" s="345">
        <f t="shared" si="1"/>
        <v>13</v>
      </c>
      <c r="B19" s="96" t="s">
        <v>86</v>
      </c>
      <c r="C19" s="371"/>
      <c r="D19" s="362"/>
      <c r="E19" s="345">
        <f t="shared" si="0"/>
        <v>0</v>
      </c>
      <c r="G19" s="366" t="s">
        <v>64</v>
      </c>
      <c r="H19" s="374">
        <f>D9/6/8</f>
        <v>15.734137700595952</v>
      </c>
    </row>
    <row r="20" spans="1:9">
      <c r="A20" s="345">
        <f t="shared" si="1"/>
        <v>14</v>
      </c>
      <c r="B20" s="96"/>
      <c r="C20" s="371"/>
      <c r="D20" s="362"/>
      <c r="E20" s="345">
        <f t="shared" si="0"/>
        <v>0</v>
      </c>
    </row>
    <row r="21" spans="1:9" ht="18.75">
      <c r="A21" s="96"/>
      <c r="B21" s="96" t="s">
        <v>66</v>
      </c>
      <c r="C21" s="371">
        <f>SUM(C7:C20)</f>
        <v>21928.299999999996</v>
      </c>
      <c r="D21" s="380">
        <f>SUM(D7:D20)</f>
        <v>12956.858725148248</v>
      </c>
      <c r="E21" s="383">
        <f t="shared" si="0"/>
        <v>8971.4412748517479</v>
      </c>
      <c r="F21" s="93"/>
      <c r="H21" s="1">
        <f>D21+H5</f>
        <v>15006.108725148248</v>
      </c>
    </row>
    <row r="22" spans="1:9" ht="15" customHeight="1">
      <c r="C22" s="43"/>
      <c r="D22" s="379"/>
      <c r="E22" s="181"/>
      <c r="G22" s="43"/>
      <c r="H22" s="43"/>
      <c r="I22" s="357"/>
    </row>
    <row r="23" spans="1:9">
      <c r="B23" s="96" t="s">
        <v>67</v>
      </c>
      <c r="C23" s="371">
        <v>289.74</v>
      </c>
      <c r="D23" s="382">
        <v>324</v>
      </c>
      <c r="E23" s="345">
        <f t="shared" si="0"/>
        <v>-34.259999999999991</v>
      </c>
      <c r="I23" s="357"/>
    </row>
    <row r="24" spans="1:9" ht="15" customHeight="1">
      <c r="B24" s="96" t="s">
        <v>68</v>
      </c>
      <c r="C24" s="371">
        <v>60</v>
      </c>
      <c r="D24" s="382">
        <v>35</v>
      </c>
      <c r="E24" s="345">
        <f t="shared" si="0"/>
        <v>25</v>
      </c>
      <c r="I24" s="358"/>
    </row>
    <row r="25" spans="1:9">
      <c r="B25" s="96" t="s">
        <v>69</v>
      </c>
      <c r="C25" s="371"/>
      <c r="D25" s="382"/>
      <c r="E25" s="345"/>
      <c r="G25" s="359"/>
      <c r="H25" s="359"/>
      <c r="I25" s="359"/>
    </row>
    <row r="26" spans="1:9" ht="18.75">
      <c r="B26" s="96" t="s">
        <v>66</v>
      </c>
      <c r="C26" s="371">
        <f>SUM(C23:C25)</f>
        <v>349.74</v>
      </c>
      <c r="D26" s="382">
        <f t="shared" ref="D26:E26" si="2">SUM(D23:D25)</f>
        <v>359</v>
      </c>
      <c r="E26" s="401">
        <f t="shared" si="2"/>
        <v>-9.2599999999999909</v>
      </c>
      <c r="G26" s="360"/>
      <c r="H26" s="360"/>
      <c r="I26" s="360"/>
    </row>
    <row r="27" spans="1:9">
      <c r="A27" s="140"/>
      <c r="B27" s="272"/>
      <c r="C27" s="240"/>
      <c r="G27" s="360"/>
      <c r="H27" s="361"/>
      <c r="I27" s="361"/>
    </row>
    <row r="28" spans="1:9">
      <c r="A28" s="141"/>
      <c r="G28" s="43"/>
      <c r="H28" s="43"/>
      <c r="I28" s="43"/>
    </row>
    <row r="29" spans="1:9" ht="24.75" customHeight="1">
      <c r="G29" s="43"/>
      <c r="H29" s="43"/>
      <c r="I29" s="43"/>
    </row>
    <row r="30" spans="1:9" ht="27.75" customHeight="1">
      <c r="A30" t="s">
        <v>178</v>
      </c>
      <c r="F30">
        <v>10.9237</v>
      </c>
    </row>
    <row r="31" spans="1:9">
      <c r="A31" t="s">
        <v>179</v>
      </c>
      <c r="B31" t="s">
        <v>180</v>
      </c>
      <c r="C31">
        <v>50600</v>
      </c>
      <c r="D31">
        <v>8250</v>
      </c>
      <c r="E31" s="1">
        <f>D31/$F$30</f>
        <v>755.23860962860567</v>
      </c>
      <c r="F31" s="1">
        <f>SUM(E31:E38)</f>
        <v>755.23860962860567</v>
      </c>
    </row>
    <row r="32" spans="1:9">
      <c r="E32" s="1">
        <f t="shared" ref="E32:E53" si="3">D32/$F$30</f>
        <v>0</v>
      </c>
    </row>
    <row r="33" spans="1:6">
      <c r="E33" s="1">
        <f t="shared" si="3"/>
        <v>0</v>
      </c>
    </row>
    <row r="34" spans="1:6">
      <c r="E34" s="1">
        <f t="shared" si="3"/>
        <v>0</v>
      </c>
    </row>
    <row r="35" spans="1:6">
      <c r="E35" s="1">
        <f t="shared" si="3"/>
        <v>0</v>
      </c>
    </row>
    <row r="36" spans="1:6">
      <c r="E36" s="1">
        <f t="shared" si="3"/>
        <v>0</v>
      </c>
    </row>
    <row r="37" spans="1:6">
      <c r="E37" s="1">
        <f t="shared" si="3"/>
        <v>0</v>
      </c>
    </row>
    <row r="38" spans="1:6">
      <c r="A38" s="341"/>
      <c r="B38" s="341"/>
      <c r="C38" s="341"/>
      <c r="D38" s="341"/>
      <c r="E38" s="342">
        <f t="shared" si="3"/>
        <v>0</v>
      </c>
      <c r="F38" s="341"/>
    </row>
    <row r="39" spans="1:6">
      <c r="A39" t="s">
        <v>181</v>
      </c>
      <c r="B39" t="s">
        <v>130</v>
      </c>
      <c r="C39">
        <v>18502179</v>
      </c>
      <c r="D39">
        <v>3398.86</v>
      </c>
      <c r="E39" s="1">
        <f t="shared" si="3"/>
        <v>311.14549099664032</v>
      </c>
      <c r="F39" s="1">
        <f>SUM(E39:E47)</f>
        <v>535.55297197835898</v>
      </c>
    </row>
    <row r="40" spans="1:6">
      <c r="C40">
        <v>18523241</v>
      </c>
      <c r="D40">
        <v>1075.9000000000001</v>
      </c>
      <c r="E40" s="1">
        <f t="shared" si="3"/>
        <v>98.492269102959625</v>
      </c>
    </row>
    <row r="41" spans="1:6">
      <c r="C41">
        <v>18617860</v>
      </c>
      <c r="D41">
        <v>1375.46</v>
      </c>
      <c r="E41" s="1">
        <f t="shared" si="3"/>
        <v>125.91521187875902</v>
      </c>
    </row>
    <row r="42" spans="1:6">
      <c r="E42" s="1">
        <f t="shared" si="3"/>
        <v>0</v>
      </c>
    </row>
    <row r="43" spans="1:6">
      <c r="E43" s="1">
        <f t="shared" si="3"/>
        <v>0</v>
      </c>
    </row>
    <row r="44" spans="1:6">
      <c r="E44" s="1">
        <f t="shared" si="3"/>
        <v>0</v>
      </c>
    </row>
    <row r="45" spans="1:6">
      <c r="E45" s="1">
        <f t="shared" si="3"/>
        <v>0</v>
      </c>
    </row>
    <row r="46" spans="1:6">
      <c r="E46" s="1">
        <f t="shared" si="3"/>
        <v>0</v>
      </c>
    </row>
    <row r="47" spans="1:6">
      <c r="A47" s="341"/>
      <c r="B47" s="341"/>
      <c r="C47" s="341"/>
      <c r="D47" s="341"/>
      <c r="E47" s="342">
        <f t="shared" si="3"/>
        <v>0</v>
      </c>
      <c r="F47" s="341"/>
    </row>
    <row r="48" spans="1:6">
      <c r="A48" t="s">
        <v>182</v>
      </c>
      <c r="B48" t="s">
        <v>183</v>
      </c>
      <c r="C48">
        <v>162233399</v>
      </c>
      <c r="D48">
        <v>2240</v>
      </c>
      <c r="E48" s="1">
        <f t="shared" si="3"/>
        <v>205.05872552340324</v>
      </c>
      <c r="F48" s="1">
        <f>SUM(E48:E52)</f>
        <v>205.05872552340324</v>
      </c>
    </row>
    <row r="49" spans="1:6">
      <c r="E49" s="1">
        <f t="shared" si="3"/>
        <v>0</v>
      </c>
    </row>
    <row r="50" spans="1:6">
      <c r="E50" s="1">
        <f t="shared" si="3"/>
        <v>0</v>
      </c>
    </row>
    <row r="51" spans="1:6">
      <c r="E51" s="1">
        <f t="shared" si="3"/>
        <v>0</v>
      </c>
    </row>
    <row r="52" spans="1:6">
      <c r="E52" s="1">
        <f t="shared" si="3"/>
        <v>0</v>
      </c>
    </row>
    <row r="53" spans="1:6">
      <c r="A53" t="s">
        <v>194</v>
      </c>
      <c r="B53" t="s">
        <v>195</v>
      </c>
      <c r="C53">
        <v>12078296</v>
      </c>
      <c r="D53">
        <v>626</v>
      </c>
      <c r="E53" s="1">
        <f t="shared" si="3"/>
        <v>57.306590257879655</v>
      </c>
      <c r="F53" s="1">
        <f>E53</f>
        <v>57.306590257879655</v>
      </c>
    </row>
  </sheetData>
  <mergeCells count="2">
    <mergeCell ref="B1:E1"/>
    <mergeCell ref="G1:H1"/>
  </mergeCells>
  <conditionalFormatting sqref="H14">
    <cfRule type="cellIs" dxfId="45" priority="5" operator="greaterThan">
      <formula>$H$9</formula>
    </cfRule>
  </conditionalFormatting>
  <conditionalFormatting sqref="H2">
    <cfRule type="cellIs" dxfId="44" priority="6" operator="greaterThan">
      <formula>#REF!</formula>
    </cfRule>
  </conditionalFormatting>
  <conditionalFormatting sqref="E7:E21">
    <cfRule type="cellIs" dxfId="43" priority="4" operator="lessThan">
      <formula>0</formula>
    </cfRule>
  </conditionalFormatting>
  <conditionalFormatting sqref="E23:E26">
    <cfRule type="cellIs" dxfId="42" priority="3" operator="lessThan">
      <formula>0</formula>
    </cfRule>
  </conditionalFormatting>
  <conditionalFormatting sqref="H14">
    <cfRule type="cellIs" dxfId="41" priority="2" operator="greaterThan">
      <formula>$H$9</formula>
    </cfRule>
  </conditionalFormatting>
  <conditionalFormatting sqref="H16">
    <cfRule type="cellIs" dxfId="40" priority="1" operator="greaterThan">
      <formula>$H$11</formula>
    </cfRule>
  </conditionalFormatting>
  <pageMargins left="0.7" right="0.7" top="0.75" bottom="0.75" header="0.3" footer="0.3"/>
  <pageSetup paperSize="9" orientation="landscape"/>
  <legacyDrawing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35CDC7-B36D-401F-B547-889AE0965017}">
  <sheetPr>
    <tabColor rgb="FF92D050"/>
    <pageSetUpPr fitToPage="1"/>
  </sheetPr>
  <dimension ref="A1:AA86"/>
  <sheetViews>
    <sheetView workbookViewId="0">
      <selection activeCell="M15" sqref="M15"/>
    </sheetView>
  </sheetViews>
  <sheetFormatPr defaultRowHeight="15" outlineLevelRow="1" outlineLevelCol="1"/>
  <cols>
    <col min="1" max="1" width="8.7109375" customWidth="1"/>
    <col min="2" max="2" width="36.5703125" bestFit="1" customWidth="1"/>
    <col min="3" max="3" width="16.7109375" customWidth="1"/>
    <col min="4" max="4" width="16.5703125" customWidth="1"/>
    <col min="5" max="5" width="15.140625" customWidth="1"/>
    <col min="6" max="6" width="10.7109375" customWidth="1"/>
    <col min="7" max="7" width="35.5703125" customWidth="1"/>
    <col min="8" max="8" width="10.7109375" customWidth="1"/>
    <col min="9" max="9" width="11" customWidth="1"/>
    <col min="10" max="11" width="10.7109375" customWidth="1"/>
    <col min="12" max="12" width="14.140625" customWidth="1"/>
    <col min="13" max="13" width="26.5703125" customWidth="1"/>
    <col min="14" max="14" width="18.140625" bestFit="1" customWidth="1"/>
    <col min="15" max="15" width="2.85546875" customWidth="1"/>
    <col min="16" max="19" width="10.7109375" customWidth="1"/>
    <col min="20" max="20" width="12.7109375" customWidth="1"/>
    <col min="21" max="25" width="12.7109375" hidden="1" customWidth="1" outlineLevel="1"/>
    <col min="26" max="26" width="3.28515625" hidden="1" customWidth="1" outlineLevel="1"/>
    <col min="27" max="27" width="12.7109375" customWidth="1" collapsed="1"/>
    <col min="28" max="28" width="12.7109375" customWidth="1"/>
  </cols>
  <sheetData>
    <row r="1" spans="1:13" s="386" customFormat="1" ht="21">
      <c r="A1" s="385" t="s">
        <v>196</v>
      </c>
      <c r="B1" s="520" t="s">
        <v>197</v>
      </c>
      <c r="C1" s="520"/>
      <c r="D1" s="520"/>
      <c r="E1" s="520"/>
      <c r="G1" s="520" t="s">
        <v>198</v>
      </c>
      <c r="H1" s="520"/>
    </row>
    <row r="2" spans="1:13" ht="18.75">
      <c r="B2" s="94" t="s">
        <v>27</v>
      </c>
      <c r="C2">
        <v>64.39</v>
      </c>
      <c r="D2" s="1">
        <f>C19/C2</f>
        <v>1903.7976393849979</v>
      </c>
      <c r="G2" s="354" t="s">
        <v>28</v>
      </c>
      <c r="H2" s="356">
        <v>145000</v>
      </c>
      <c r="I2" s="351"/>
      <c r="J2" s="516" t="s">
        <v>199</v>
      </c>
      <c r="K2" s="516"/>
      <c r="L2" s="516"/>
    </row>
    <row r="3" spans="1:13" ht="17.25" customHeight="1">
      <c r="B3" s="94" t="s">
        <v>31</v>
      </c>
      <c r="C3">
        <v>17.16</v>
      </c>
      <c r="G3" s="354" t="s">
        <v>32</v>
      </c>
      <c r="H3" s="394">
        <f>C16+C17</f>
        <v>10574.43</v>
      </c>
      <c r="I3" s="320"/>
      <c r="J3" s="384">
        <v>0.3</v>
      </c>
      <c r="K3" s="366">
        <v>43500</v>
      </c>
      <c r="L3" s="365" t="s">
        <v>200</v>
      </c>
    </row>
    <row r="4" spans="1:13">
      <c r="B4" s="322" t="s">
        <v>34</v>
      </c>
      <c r="C4" s="43">
        <f>SUM(C2:C3)</f>
        <v>81.55</v>
      </c>
      <c r="D4" s="317">
        <f>C19/C4</f>
        <v>1503.194727161251</v>
      </c>
      <c r="G4" s="354" t="s">
        <v>35</v>
      </c>
      <c r="H4" s="355">
        <f>(H2+H3)*0.07</f>
        <v>10890.2101</v>
      </c>
      <c r="J4" s="98">
        <v>0.6</v>
      </c>
      <c r="K4" s="345">
        <v>87000</v>
      </c>
      <c r="L4" s="96" t="s">
        <v>201</v>
      </c>
    </row>
    <row r="5" spans="1:13" ht="16.5" customHeight="1">
      <c r="A5" s="96"/>
      <c r="B5" s="345" t="s">
        <v>37</v>
      </c>
      <c r="C5" s="371" t="s">
        <v>38</v>
      </c>
      <c r="D5" s="362" t="s">
        <v>39</v>
      </c>
      <c r="E5" s="345" t="s">
        <v>40</v>
      </c>
      <c r="G5" s="354" t="s">
        <v>41</v>
      </c>
      <c r="H5" s="355">
        <f>H2+H3-D19-H4</f>
        <v>11467.718201326377</v>
      </c>
      <c r="J5" s="98">
        <v>0.1</v>
      </c>
      <c r="K5" s="345">
        <v>14500</v>
      </c>
      <c r="L5" s="96" t="s">
        <v>201</v>
      </c>
    </row>
    <row r="6" spans="1:13">
      <c r="A6" s="346">
        <v>1</v>
      </c>
      <c r="B6" s="97" t="s">
        <v>42</v>
      </c>
      <c r="C6" s="376">
        <f>28722.11-C8-C10</f>
        <v>24742.510000000002</v>
      </c>
      <c r="D6" s="403">
        <f>(8191.31-3600+16.02*(152.46+17.88)-20*50)*1.48*1.2359+3600+20*50+(4821.58+6.9*15.02-1700)*1.48*1.2359+1700</f>
        <v>23759.750498673598</v>
      </c>
      <c r="E6" s="381">
        <f>C6-D6</f>
        <v>982.75950132640355</v>
      </c>
      <c r="H6" s="239">
        <f>H5/(H2+H3)</f>
        <v>7.3712101669447722E-2</v>
      </c>
      <c r="I6" s="1"/>
    </row>
    <row r="7" spans="1:13">
      <c r="A7" s="345">
        <f>A6+1</f>
        <v>2</v>
      </c>
      <c r="B7" s="96" t="s">
        <v>43</v>
      </c>
      <c r="C7" s="371">
        <v>14720.52</v>
      </c>
      <c r="D7" s="380">
        <f>G35+C80+8195+1480.01+70.82+46+39.96+54.01+11+13.74+7.27+159.54+13.8+25.38+3.58+6.41+295+673.27+6.41+3.58+96.67</f>
        <v>15259.051818181817</v>
      </c>
      <c r="E7" s="381">
        <f t="shared" ref="E7:E23" si="0">C7-D7</f>
        <v>-538.53181818181656</v>
      </c>
      <c r="I7" s="93"/>
    </row>
    <row r="8" spans="1:13">
      <c r="A8" s="345">
        <f t="shared" ref="A8:A18" si="1">A7+1</f>
        <v>3</v>
      </c>
      <c r="B8" s="96" t="s">
        <v>202</v>
      </c>
      <c r="C8" s="371">
        <f>C21*4</f>
        <v>3183.68</v>
      </c>
      <c r="D8" s="380">
        <f>F29+F30+F31+F32+F33</f>
        <v>4889.090909090909</v>
      </c>
      <c r="E8" s="381">
        <f t="shared" si="0"/>
        <v>-1705.4109090909092</v>
      </c>
      <c r="G8" s="369" t="s">
        <v>46</v>
      </c>
      <c r="H8" s="370">
        <f>C6/C24</f>
        <v>23.861541874011497</v>
      </c>
      <c r="J8" s="49"/>
    </row>
    <row r="9" spans="1:13">
      <c r="A9" s="345">
        <f t="shared" si="1"/>
        <v>4</v>
      </c>
      <c r="B9" s="96" t="s">
        <v>203</v>
      </c>
      <c r="C9" s="371"/>
      <c r="D9" s="362"/>
      <c r="E9" s="345">
        <f t="shared" si="0"/>
        <v>0</v>
      </c>
      <c r="G9" s="371" t="s">
        <v>48</v>
      </c>
      <c r="H9" s="372">
        <f>C24/C4</f>
        <v>12.715144083384429</v>
      </c>
    </row>
    <row r="10" spans="1:13">
      <c r="A10" s="345">
        <f t="shared" si="1"/>
        <v>5</v>
      </c>
      <c r="B10" s="96" t="s">
        <v>204</v>
      </c>
      <c r="C10" s="371">
        <f>C21*1</f>
        <v>795.92</v>
      </c>
      <c r="D10" s="362">
        <f>600.7/2+65.12+897.31+132.01+329.69+110+202+130.25+586.69+36.72+430.9+60.63+129.04+86.18</f>
        <v>3496.89</v>
      </c>
      <c r="E10" s="345">
        <f t="shared" si="0"/>
        <v>-2700.97</v>
      </c>
      <c r="G10" s="371" t="s">
        <v>50</v>
      </c>
      <c r="H10" s="378">
        <f>H8*H9</f>
        <v>303.40294297976709</v>
      </c>
    </row>
    <row r="11" spans="1:13">
      <c r="A11" s="345">
        <f t="shared" si="1"/>
        <v>6</v>
      </c>
      <c r="B11" s="96" t="s">
        <v>80</v>
      </c>
      <c r="C11" s="371">
        <v>1000</v>
      </c>
      <c r="D11" s="362">
        <f>150+230+120+150+420+450+160</f>
        <v>1680</v>
      </c>
      <c r="E11" s="345">
        <f t="shared" si="0"/>
        <v>-680</v>
      </c>
    </row>
    <row r="12" spans="1:13">
      <c r="A12" s="345">
        <f t="shared" si="1"/>
        <v>7</v>
      </c>
      <c r="B12" s="96" t="s">
        <v>104</v>
      </c>
      <c r="C12" s="371">
        <v>31500</v>
      </c>
      <c r="D12" s="362">
        <v>30550</v>
      </c>
      <c r="E12" s="345">
        <f t="shared" si="0"/>
        <v>950</v>
      </c>
      <c r="G12" s="366" t="s">
        <v>55</v>
      </c>
      <c r="H12" s="367">
        <f>D6/D24</f>
        <v>24.247117561663025</v>
      </c>
    </row>
    <row r="13" spans="1:13">
      <c r="A13" s="345">
        <f t="shared" si="1"/>
        <v>8</v>
      </c>
      <c r="B13" s="96" t="s">
        <v>205</v>
      </c>
      <c r="C13" s="371">
        <v>30020</v>
      </c>
      <c r="D13" s="362">
        <f>29865.44+853.98</f>
        <v>30719.42</v>
      </c>
      <c r="E13" s="345">
        <f t="shared" si="0"/>
        <v>-699.41999999999825</v>
      </c>
      <c r="G13" s="366" t="s">
        <v>57</v>
      </c>
      <c r="H13" s="368">
        <f>D24/C4</f>
        <v>12.015941140404662</v>
      </c>
      <c r="M13" s="1"/>
    </row>
    <row r="14" spans="1:13">
      <c r="A14" s="345">
        <f t="shared" si="1"/>
        <v>9</v>
      </c>
      <c r="B14" s="96" t="s">
        <v>206</v>
      </c>
      <c r="C14" s="371"/>
      <c r="D14" s="380"/>
      <c r="E14" s="381">
        <f t="shared" si="0"/>
        <v>0</v>
      </c>
      <c r="G14" s="366" t="s">
        <v>59</v>
      </c>
      <c r="H14" s="374">
        <f>H13*H12</f>
        <v>291.3519374454151</v>
      </c>
    </row>
    <row r="15" spans="1:13">
      <c r="A15" s="345">
        <f t="shared" si="1"/>
        <v>10</v>
      </c>
      <c r="B15" s="96" t="s">
        <v>84</v>
      </c>
      <c r="C15" s="371">
        <f>68568.47-C11-C12-C13-C14</f>
        <v>6048.4700000000012</v>
      </c>
      <c r="D15" s="380">
        <f>G56+4.57+419.06+266.35+411.93+69.2+1162.95+125+164+91.45+253.33+24.01+15.89+18.6+29.72+11.65+6.87+11.9+15.2+73.44+10.24+21.23+208.33+462.36+220.5+165.76+8.36+10.39+(81.89)/2+87.79+52.9</f>
        <v>10788.362272727276</v>
      </c>
      <c r="E15" s="381">
        <f t="shared" si="0"/>
        <v>-4739.8922727272748</v>
      </c>
    </row>
    <row r="16" spans="1:13">
      <c r="A16" s="345">
        <f t="shared" si="1"/>
        <v>11</v>
      </c>
      <c r="B16" s="96" t="s">
        <v>85</v>
      </c>
      <c r="C16" s="371">
        <v>155.83000000000001</v>
      </c>
      <c r="D16" s="362"/>
      <c r="E16" s="345">
        <f t="shared" si="0"/>
        <v>155.83000000000001</v>
      </c>
      <c r="G16" s="375" t="s">
        <v>62</v>
      </c>
      <c r="H16" s="374">
        <f>(D6+D8+D10)/D24</f>
        <v>32.805114203249822</v>
      </c>
    </row>
    <row r="17" spans="1:8">
      <c r="A17" s="345">
        <f t="shared" si="1"/>
        <v>12</v>
      </c>
      <c r="B17" s="96" t="s">
        <v>86</v>
      </c>
      <c r="C17" s="396">
        <v>10418.6</v>
      </c>
      <c r="D17" s="380">
        <f>G74-21.8</f>
        <v>8090.2</v>
      </c>
      <c r="E17" s="381">
        <f t="shared" si="0"/>
        <v>2328.4000000000005</v>
      </c>
      <c r="G17" s="366" t="s">
        <v>64</v>
      </c>
      <c r="H17" s="374">
        <f>D8/5/30</f>
        <v>32.593939393939394</v>
      </c>
    </row>
    <row r="18" spans="1:8">
      <c r="A18" s="345">
        <f t="shared" si="1"/>
        <v>13</v>
      </c>
      <c r="B18" s="96" t="s">
        <v>207</v>
      </c>
      <c r="C18" s="371"/>
      <c r="D18" s="380">
        <f>1954.42+350*1.48*1.2359+1066.1+351.59-60+31.43</f>
        <v>3983.7361999999998</v>
      </c>
      <c r="E18" s="381">
        <f t="shared" si="0"/>
        <v>-3983.7361999999998</v>
      </c>
    </row>
    <row r="19" spans="1:8" ht="18.75">
      <c r="A19" s="96"/>
      <c r="B19" s="96" t="s">
        <v>66</v>
      </c>
      <c r="C19" s="371">
        <f>SUM(C6:C18)</f>
        <v>122585.53000000001</v>
      </c>
      <c r="D19" s="380">
        <f>SUM(D6:D18)</f>
        <v>133216.50169867362</v>
      </c>
      <c r="E19" s="383">
        <f>C19-D19</f>
        <v>-10630.971698673602</v>
      </c>
      <c r="H19" s="1">
        <f>D19+H4</f>
        <v>144106.71179867361</v>
      </c>
    </row>
    <row r="20" spans="1:8" ht="15" customHeight="1">
      <c r="C20" s="379"/>
      <c r="D20" s="379"/>
      <c r="E20" s="181"/>
    </row>
    <row r="21" spans="1:8">
      <c r="B21" s="96" t="s">
        <v>67</v>
      </c>
      <c r="C21" s="371">
        <v>795.92</v>
      </c>
      <c r="D21" s="382">
        <f>545.36+34.5+43.1+43.1+34.5+6.9</f>
        <v>707.46</v>
      </c>
      <c r="E21" s="345">
        <f t="shared" si="0"/>
        <v>88.459999999999923</v>
      </c>
    </row>
    <row r="22" spans="1:8" ht="15" customHeight="1">
      <c r="B22" s="96" t="s">
        <v>68</v>
      </c>
      <c r="C22" s="371">
        <v>214</v>
      </c>
      <c r="D22" s="382">
        <f>152.46+17.88+75.1</f>
        <v>245.44</v>
      </c>
      <c r="E22" s="345">
        <f t="shared" si="0"/>
        <v>-31.439999999999998</v>
      </c>
    </row>
    <row r="23" spans="1:8">
      <c r="B23" s="96" t="s">
        <v>69</v>
      </c>
      <c r="C23" s="371">
        <v>27</v>
      </c>
      <c r="D23" s="382">
        <v>27</v>
      </c>
      <c r="E23" s="345">
        <f t="shared" si="0"/>
        <v>0</v>
      </c>
    </row>
    <row r="24" spans="1:8" ht="18.75">
      <c r="B24" s="96" t="s">
        <v>66</v>
      </c>
      <c r="C24" s="398">
        <f>SUM(C21:C23)</f>
        <v>1036.92</v>
      </c>
      <c r="D24" s="399">
        <f t="shared" ref="D24:E24" si="2">SUM(D21:D23)</f>
        <v>979.90000000000009</v>
      </c>
      <c r="E24" s="400">
        <f t="shared" si="2"/>
        <v>57.019999999999925</v>
      </c>
    </row>
    <row r="25" spans="1:8">
      <c r="A25" s="140"/>
      <c r="B25" s="272"/>
      <c r="C25" s="397"/>
      <c r="D25" s="96"/>
      <c r="E25" s="96"/>
    </row>
    <row r="28" spans="1:8">
      <c r="B28" t="s">
        <v>178</v>
      </c>
      <c r="G28" s="334">
        <v>11</v>
      </c>
    </row>
    <row r="29" spans="1:8" outlineLevel="1">
      <c r="A29" s="521" t="s">
        <v>179</v>
      </c>
      <c r="B29" s="94" t="s">
        <v>180</v>
      </c>
      <c r="C29">
        <v>49982</v>
      </c>
      <c r="D29">
        <v>39060</v>
      </c>
      <c r="E29" t="s">
        <v>208</v>
      </c>
      <c r="F29" s="1">
        <f>D29/$G$28</f>
        <v>3550.909090909091</v>
      </c>
      <c r="G29" t="s">
        <v>209</v>
      </c>
    </row>
    <row r="30" spans="1:8" outlineLevel="1">
      <c r="A30" s="521"/>
      <c r="C30">
        <v>50358</v>
      </c>
      <c r="D30">
        <v>420</v>
      </c>
      <c r="E30" t="s">
        <v>208</v>
      </c>
      <c r="F30" s="1">
        <f t="shared" ref="F30:F33" si="3">D30/$G$28</f>
        <v>38.18181818181818</v>
      </c>
    </row>
    <row r="31" spans="1:8" outlineLevel="1">
      <c r="A31" s="521"/>
      <c r="C31">
        <v>50450</v>
      </c>
      <c r="D31">
        <v>8250</v>
      </c>
      <c r="E31" t="s">
        <v>208</v>
      </c>
      <c r="F31" s="1">
        <f t="shared" si="3"/>
        <v>750</v>
      </c>
    </row>
    <row r="32" spans="1:8" outlineLevel="1">
      <c r="A32" s="521"/>
      <c r="C32">
        <v>50475</v>
      </c>
      <c r="D32">
        <v>3300</v>
      </c>
      <c r="E32" t="s">
        <v>208</v>
      </c>
      <c r="F32" s="1">
        <f t="shared" si="3"/>
        <v>300</v>
      </c>
    </row>
    <row r="33" spans="1:7" outlineLevel="1">
      <c r="A33" s="521"/>
      <c r="C33">
        <v>50530</v>
      </c>
      <c r="D33">
        <v>2750</v>
      </c>
      <c r="E33" t="s">
        <v>208</v>
      </c>
      <c r="F33" s="1">
        <f t="shared" si="3"/>
        <v>250</v>
      </c>
    </row>
    <row r="34" spans="1:7" outlineLevel="1">
      <c r="A34" s="521"/>
      <c r="B34" s="341"/>
      <c r="C34" s="341"/>
      <c r="D34" s="341"/>
      <c r="E34" s="341"/>
      <c r="F34" s="342"/>
    </row>
    <row r="35" spans="1:7" outlineLevel="1">
      <c r="A35" s="522" t="s">
        <v>181</v>
      </c>
      <c r="B35" s="94" t="s">
        <v>130</v>
      </c>
      <c r="C35">
        <v>17292053</v>
      </c>
      <c r="D35">
        <v>13400.92</v>
      </c>
      <c r="F35" s="1">
        <f>D35/$G$28</f>
        <v>1218.2654545454545</v>
      </c>
      <c r="G35" s="1">
        <f>SUM(F35:F55)</f>
        <v>4057.6018181818181</v>
      </c>
    </row>
    <row r="36" spans="1:7" outlineLevel="1">
      <c r="A36" s="521"/>
      <c r="B36" s="94"/>
      <c r="C36">
        <v>17309717</v>
      </c>
      <c r="D36">
        <v>1319.7</v>
      </c>
      <c r="F36" s="1">
        <f t="shared" ref="F36:F75" si="4">D36/$G$28</f>
        <v>119.97272727272728</v>
      </c>
    </row>
    <row r="37" spans="1:7" outlineLevel="1">
      <c r="A37" s="521"/>
      <c r="B37" s="94"/>
      <c r="C37">
        <v>17327107</v>
      </c>
      <c r="D37">
        <v>1695.36</v>
      </c>
      <c r="F37" s="1">
        <f t="shared" si="4"/>
        <v>154.12363636363636</v>
      </c>
    </row>
    <row r="38" spans="1:7" outlineLevel="1">
      <c r="A38" s="521"/>
      <c r="B38" s="94"/>
      <c r="C38">
        <v>17370198</v>
      </c>
      <c r="D38">
        <v>9863.25</v>
      </c>
      <c r="F38" s="1">
        <f t="shared" si="4"/>
        <v>896.65909090909088</v>
      </c>
    </row>
    <row r="39" spans="1:7" outlineLevel="1">
      <c r="A39" s="521"/>
      <c r="B39" s="94"/>
      <c r="C39">
        <v>17399783</v>
      </c>
      <c r="D39">
        <v>2293.4299999999998</v>
      </c>
      <c r="F39" s="1">
        <f t="shared" si="4"/>
        <v>208.49363636363634</v>
      </c>
    </row>
    <row r="40" spans="1:7" outlineLevel="1">
      <c r="A40" s="521"/>
      <c r="B40" s="94"/>
      <c r="C40">
        <v>17437336</v>
      </c>
      <c r="D40">
        <v>611.98</v>
      </c>
      <c r="F40" s="1">
        <f t="shared" si="4"/>
        <v>55.634545454545453</v>
      </c>
    </row>
    <row r="41" spans="1:7" outlineLevel="1">
      <c r="A41" s="521"/>
      <c r="B41" s="94"/>
      <c r="C41">
        <v>17417874</v>
      </c>
      <c r="D41">
        <v>726.19</v>
      </c>
      <c r="F41" s="1">
        <f t="shared" si="4"/>
        <v>66.017272727272726</v>
      </c>
    </row>
    <row r="42" spans="1:7" outlineLevel="1">
      <c r="A42" s="521"/>
      <c r="B42" s="94"/>
      <c r="C42">
        <v>17456344</v>
      </c>
      <c r="D42">
        <v>3467.25</v>
      </c>
      <c r="F42" s="1">
        <f t="shared" si="4"/>
        <v>315.20454545454544</v>
      </c>
    </row>
    <row r="43" spans="1:7" outlineLevel="1">
      <c r="A43" s="521"/>
      <c r="B43" s="94"/>
      <c r="C43">
        <v>17583584</v>
      </c>
      <c r="D43">
        <v>1975.03</v>
      </c>
      <c r="F43" s="1">
        <f t="shared" si="4"/>
        <v>179.5481818181818</v>
      </c>
    </row>
    <row r="44" spans="1:7" outlineLevel="1">
      <c r="A44" s="521"/>
      <c r="B44" s="94"/>
      <c r="C44">
        <v>17645284</v>
      </c>
      <c r="D44">
        <v>3356.59</v>
      </c>
      <c r="F44" s="1">
        <f t="shared" si="4"/>
        <v>305.14454545454549</v>
      </c>
    </row>
    <row r="45" spans="1:7" outlineLevel="1">
      <c r="A45" s="521"/>
      <c r="B45" s="94"/>
      <c r="C45">
        <v>17727991</v>
      </c>
      <c r="D45">
        <v>1870.61</v>
      </c>
      <c r="F45" s="1">
        <f t="shared" si="4"/>
        <v>170.05545454545452</v>
      </c>
    </row>
    <row r="46" spans="1:7" outlineLevel="1">
      <c r="A46" s="521"/>
      <c r="B46" s="94"/>
      <c r="C46">
        <v>18041699</v>
      </c>
      <c r="D46">
        <v>-1499.41</v>
      </c>
      <c r="F46" s="1">
        <f t="shared" si="4"/>
        <v>-136.31</v>
      </c>
    </row>
    <row r="47" spans="1:7" outlineLevel="1">
      <c r="A47" s="521"/>
      <c r="B47" s="94"/>
      <c r="C47">
        <v>18302596</v>
      </c>
      <c r="D47">
        <v>218.95</v>
      </c>
      <c r="F47" s="1">
        <f t="shared" si="4"/>
        <v>19.904545454545453</v>
      </c>
    </row>
    <row r="48" spans="1:7" outlineLevel="1">
      <c r="A48" s="521"/>
      <c r="B48" s="94"/>
      <c r="C48">
        <v>18409466</v>
      </c>
      <c r="D48">
        <v>2928.82</v>
      </c>
      <c r="F48" s="1">
        <f t="shared" si="4"/>
        <v>266.25636363636363</v>
      </c>
    </row>
    <row r="49" spans="1:7" outlineLevel="1">
      <c r="A49" s="521"/>
      <c r="B49" s="94"/>
      <c r="F49" s="1"/>
    </row>
    <row r="50" spans="1:7" outlineLevel="1">
      <c r="A50" s="521"/>
      <c r="B50" s="94" t="s">
        <v>210</v>
      </c>
      <c r="C50">
        <v>11974794</v>
      </c>
      <c r="D50">
        <v>433.95</v>
      </c>
      <c r="F50" s="1">
        <f t="shared" si="4"/>
        <v>39.449999999999996</v>
      </c>
    </row>
    <row r="51" spans="1:7" outlineLevel="1">
      <c r="A51" s="521"/>
      <c r="B51" s="94"/>
      <c r="F51" s="1">
        <f t="shared" si="4"/>
        <v>0</v>
      </c>
    </row>
    <row r="52" spans="1:7" outlineLevel="1">
      <c r="A52" s="521"/>
      <c r="B52" s="94" t="s">
        <v>211</v>
      </c>
      <c r="C52">
        <v>216352</v>
      </c>
      <c r="D52">
        <v>1971</v>
      </c>
      <c r="F52" s="1">
        <f t="shared" si="4"/>
        <v>179.18181818181819</v>
      </c>
    </row>
    <row r="53" spans="1:7" outlineLevel="1">
      <c r="A53" s="521"/>
      <c r="B53" s="94"/>
      <c r="F53" s="1">
        <f t="shared" si="4"/>
        <v>0</v>
      </c>
    </row>
    <row r="54" spans="1:7" outlineLevel="1">
      <c r="A54" s="521"/>
      <c r="B54" s="94"/>
      <c r="F54" s="1">
        <f t="shared" si="4"/>
        <v>0</v>
      </c>
    </row>
    <row r="55" spans="1:7" outlineLevel="1">
      <c r="A55" s="521"/>
      <c r="B55" s="340"/>
      <c r="C55" s="341"/>
      <c r="D55" s="341"/>
      <c r="E55" s="341"/>
      <c r="F55" s="1"/>
    </row>
    <row r="56" spans="1:7" outlineLevel="1">
      <c r="A56" s="522" t="s">
        <v>194</v>
      </c>
      <c r="B56" s="94" t="s">
        <v>195</v>
      </c>
      <c r="C56">
        <v>11998907</v>
      </c>
      <c r="D56">
        <v>526.48</v>
      </c>
      <c r="F56" s="1">
        <f t="shared" si="4"/>
        <v>47.861818181818187</v>
      </c>
      <c r="G56" s="1">
        <f>SUM(F56:F68)</f>
        <v>6324.437272727273</v>
      </c>
    </row>
    <row r="57" spans="1:7" outlineLevel="1">
      <c r="A57" s="521"/>
      <c r="B57" s="94"/>
      <c r="C57">
        <v>12010834</v>
      </c>
      <c r="D57">
        <v>8009.02</v>
      </c>
      <c r="F57" s="1">
        <f t="shared" si="4"/>
        <v>728.0927272727273</v>
      </c>
    </row>
    <row r="58" spans="1:7" outlineLevel="1">
      <c r="A58" s="521"/>
      <c r="B58" s="94"/>
      <c r="C58">
        <v>12019010</v>
      </c>
      <c r="D58">
        <v>9768.9599999999991</v>
      </c>
      <c r="F58" s="1">
        <f t="shared" si="4"/>
        <v>888.08727272727265</v>
      </c>
    </row>
    <row r="59" spans="1:7" outlineLevel="1">
      <c r="A59" s="521"/>
      <c r="B59" s="94"/>
      <c r="C59">
        <v>12037378</v>
      </c>
      <c r="D59">
        <v>9263.34</v>
      </c>
      <c r="F59" s="1">
        <f t="shared" si="4"/>
        <v>842.12181818181818</v>
      </c>
    </row>
    <row r="60" spans="1:7" outlineLevel="1">
      <c r="A60" s="521"/>
      <c r="B60" s="94"/>
      <c r="C60">
        <v>12056938</v>
      </c>
      <c r="D60">
        <v>10238.799999999999</v>
      </c>
      <c r="F60" s="1">
        <f t="shared" si="4"/>
        <v>930.8</v>
      </c>
    </row>
    <row r="61" spans="1:7" outlineLevel="1">
      <c r="A61" s="521"/>
      <c r="B61" s="94" t="s">
        <v>212</v>
      </c>
      <c r="C61">
        <v>3610416</v>
      </c>
      <c r="D61">
        <v>750</v>
      </c>
      <c r="F61" s="1">
        <f t="shared" si="4"/>
        <v>68.181818181818187</v>
      </c>
    </row>
    <row r="62" spans="1:7" outlineLevel="1">
      <c r="A62" s="521"/>
      <c r="B62" s="94"/>
      <c r="C62">
        <v>3612958</v>
      </c>
      <c r="D62">
        <v>1056</v>
      </c>
      <c r="F62" s="1">
        <f t="shared" si="4"/>
        <v>96</v>
      </c>
    </row>
    <row r="63" spans="1:7" outlineLevel="1">
      <c r="A63" s="521"/>
      <c r="B63" s="94"/>
      <c r="F63" s="1">
        <f t="shared" si="4"/>
        <v>0</v>
      </c>
    </row>
    <row r="64" spans="1:7" outlineLevel="1">
      <c r="A64" s="521"/>
      <c r="B64" s="94"/>
      <c r="C64">
        <v>3615468</v>
      </c>
      <c r="D64">
        <v>1059</v>
      </c>
      <c r="F64" s="1">
        <f t="shared" si="4"/>
        <v>96.272727272727266</v>
      </c>
    </row>
    <row r="65" spans="1:9" outlineLevel="1">
      <c r="A65" s="521"/>
      <c r="B65" s="94" t="s">
        <v>213</v>
      </c>
      <c r="C65">
        <v>26029</v>
      </c>
      <c r="D65">
        <v>2057.06</v>
      </c>
      <c r="F65" s="1">
        <f t="shared" si="4"/>
        <v>187.00545454545454</v>
      </c>
    </row>
    <row r="66" spans="1:9" outlineLevel="1">
      <c r="A66" s="521"/>
      <c r="B66" s="94"/>
      <c r="C66" s="328">
        <v>26261</v>
      </c>
      <c r="D66" s="328">
        <v>1299.1500000000001</v>
      </c>
      <c r="E66" s="328"/>
      <c r="F66" s="330">
        <f t="shared" si="4"/>
        <v>118.10454545454546</v>
      </c>
    </row>
    <row r="67" spans="1:9" outlineLevel="1">
      <c r="A67" s="521"/>
      <c r="B67" s="406" t="s">
        <v>214</v>
      </c>
      <c r="C67" s="407">
        <v>10250015624</v>
      </c>
      <c r="D67" s="407">
        <v>241</v>
      </c>
      <c r="E67" s="407"/>
      <c r="F67" s="408">
        <f t="shared" si="4"/>
        <v>21.90909090909091</v>
      </c>
    </row>
    <row r="68" spans="1:9" outlineLevel="1">
      <c r="A68" s="521"/>
      <c r="B68" s="430" t="s">
        <v>215</v>
      </c>
      <c r="C68" s="431">
        <v>7307</v>
      </c>
      <c r="D68" s="431">
        <v>25300</v>
      </c>
      <c r="E68" s="431"/>
      <c r="F68" s="432">
        <f t="shared" si="4"/>
        <v>2300</v>
      </c>
    </row>
    <row r="69" spans="1:9" outlineLevel="1">
      <c r="A69" s="523" t="s">
        <v>189</v>
      </c>
      <c r="B69" s="94" t="s">
        <v>216</v>
      </c>
      <c r="C69">
        <v>34800</v>
      </c>
      <c r="D69">
        <v>100800</v>
      </c>
      <c r="F69" s="1">
        <f t="shared" si="4"/>
        <v>9163.636363636364</v>
      </c>
      <c r="G69" s="317">
        <f>SUM(F69:F73)</f>
        <v>30545.454545454548</v>
      </c>
      <c r="H69" s="1">
        <f>G69-D12</f>
        <v>-4.5454545454522304</v>
      </c>
    </row>
    <row r="70" spans="1:9" outlineLevel="1">
      <c r="A70" s="519"/>
      <c r="B70" s="94"/>
      <c r="C70">
        <v>34816</v>
      </c>
      <c r="D70">
        <v>100000</v>
      </c>
      <c r="F70" s="1">
        <f t="shared" si="4"/>
        <v>9090.9090909090901</v>
      </c>
    </row>
    <row r="71" spans="1:9" outlineLevel="1">
      <c r="A71" s="519"/>
      <c r="C71">
        <v>34820</v>
      </c>
      <c r="D71">
        <v>101600</v>
      </c>
      <c r="F71" s="1">
        <f t="shared" si="4"/>
        <v>9236.363636363636</v>
      </c>
    </row>
    <row r="72" spans="1:9" outlineLevel="1">
      <c r="A72" s="519"/>
      <c r="C72">
        <v>34822</v>
      </c>
      <c r="D72">
        <v>33600</v>
      </c>
      <c r="F72" s="1">
        <f t="shared" si="4"/>
        <v>3054.5454545454545</v>
      </c>
    </row>
    <row r="73" spans="1:9" outlineLevel="1">
      <c r="A73" s="519"/>
      <c r="B73" s="341"/>
      <c r="C73" s="341"/>
      <c r="D73" s="341"/>
      <c r="E73" s="341"/>
      <c r="F73" s="1"/>
    </row>
    <row r="74" spans="1:9" ht="48.75" customHeight="1" outlineLevel="1">
      <c r="A74" s="519" t="s">
        <v>217</v>
      </c>
      <c r="B74" s="94" t="s">
        <v>218</v>
      </c>
      <c r="C74">
        <v>2365003663</v>
      </c>
      <c r="D74">
        <v>22892</v>
      </c>
      <c r="F74" s="1">
        <f t="shared" si="4"/>
        <v>2081.090909090909</v>
      </c>
      <c r="G74" s="1">
        <f>F74+F75+F76+F77+F78</f>
        <v>8112</v>
      </c>
    </row>
    <row r="75" spans="1:9" outlineLevel="1">
      <c r="A75" s="519"/>
      <c r="C75">
        <v>2365003724</v>
      </c>
      <c r="D75">
        <v>7575</v>
      </c>
      <c r="F75" s="1">
        <f t="shared" si="4"/>
        <v>688.63636363636363</v>
      </c>
    </row>
    <row r="76" spans="1:9" outlineLevel="1">
      <c r="A76" s="519"/>
      <c r="B76" s="94" t="s">
        <v>219</v>
      </c>
      <c r="C76">
        <v>7092</v>
      </c>
      <c r="D76">
        <v>31595</v>
      </c>
      <c r="F76" s="1">
        <f>D76/$G$28</f>
        <v>2872.2727272727275</v>
      </c>
      <c r="G76" s="1"/>
    </row>
    <row r="77" spans="1:9" outlineLevel="1">
      <c r="A77" s="519"/>
      <c r="B77" s="94" t="s">
        <v>220</v>
      </c>
      <c r="C77" s="43">
        <v>10095</v>
      </c>
      <c r="D77">
        <v>22345</v>
      </c>
      <c r="F77" s="1">
        <f>D77/$G$28</f>
        <v>2031.3636363636363</v>
      </c>
    </row>
    <row r="78" spans="1:9" outlineLevel="1">
      <c r="A78" s="393"/>
      <c r="B78" t="s">
        <v>221</v>
      </c>
      <c r="C78">
        <v>19882117</v>
      </c>
      <c r="D78">
        <v>4825</v>
      </c>
      <c r="F78" s="1">
        <f>D78/$G$28</f>
        <v>438.63636363636363</v>
      </c>
    </row>
    <row r="79" spans="1:9" outlineLevel="1">
      <c r="A79" s="393"/>
      <c r="F79" s="1"/>
    </row>
    <row r="80" spans="1:9">
      <c r="B80" t="s">
        <v>70</v>
      </c>
      <c r="C80" s="330">
        <f>C81+C82+C83+C84</f>
        <v>0</v>
      </c>
      <c r="I80" s="93"/>
    </row>
    <row r="81" spans="2:9" outlineLevel="1">
      <c r="B81" s="94"/>
      <c r="I81" s="93"/>
    </row>
    <row r="82" spans="2:9" outlineLevel="1">
      <c r="B82" s="94"/>
      <c r="C82" s="329"/>
      <c r="D82" s="181"/>
      <c r="E82" s="181"/>
      <c r="I82" s="93"/>
    </row>
    <row r="83" spans="2:9" outlineLevel="1">
      <c r="B83" s="94"/>
      <c r="C83" s="94"/>
      <c r="D83" s="194"/>
      <c r="E83" s="194"/>
    </row>
    <row r="84" spans="2:9" outlineLevel="1">
      <c r="B84" s="94"/>
      <c r="C84" s="343"/>
      <c r="D84" s="194"/>
      <c r="E84" s="194"/>
    </row>
    <row r="85" spans="2:9" outlineLevel="1"/>
    <row r="86" spans="2:9" outlineLevel="1">
      <c r="G86" s="43"/>
    </row>
  </sheetData>
  <mergeCells count="8">
    <mergeCell ref="A74:A77"/>
    <mergeCell ref="B1:E1"/>
    <mergeCell ref="G1:H1"/>
    <mergeCell ref="J2:L2"/>
    <mergeCell ref="A29:A34"/>
    <mergeCell ref="A35:A55"/>
    <mergeCell ref="A56:A68"/>
    <mergeCell ref="A69:A73"/>
  </mergeCells>
  <conditionalFormatting sqref="H12">
    <cfRule type="cellIs" dxfId="39" priority="5" operator="greaterThan">
      <formula>#REF!</formula>
    </cfRule>
  </conditionalFormatting>
  <conditionalFormatting sqref="E6:E19">
    <cfRule type="cellIs" dxfId="38" priority="4" operator="lessThan">
      <formula>0</formula>
    </cfRule>
  </conditionalFormatting>
  <conditionalFormatting sqref="E21:E24">
    <cfRule type="cellIs" dxfId="37" priority="3" operator="lessThan">
      <formula>0</formula>
    </cfRule>
  </conditionalFormatting>
  <conditionalFormatting sqref="H13">
    <cfRule type="cellIs" dxfId="36" priority="7" operator="greaterThan">
      <formula>#REF!</formula>
    </cfRule>
  </conditionalFormatting>
  <conditionalFormatting sqref="H12">
    <cfRule type="cellIs" dxfId="35" priority="2" operator="greaterThan">
      <formula>#REF!</formula>
    </cfRule>
  </conditionalFormatting>
  <conditionalFormatting sqref="H14">
    <cfRule type="cellIs" dxfId="34" priority="1" operator="greaterThan">
      <formula>#REF!</formula>
    </cfRule>
  </conditionalFormatting>
  <pageMargins left="0.7" right="0.7" top="0.75" bottom="0.75" header="0.3" footer="0.3"/>
  <pageSetup paperSize="9" orientation="landscape"/>
  <legacyDrawing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A1B16-E55D-499F-A48B-30F1E15953DC}">
  <sheetPr>
    <tabColor rgb="FF92D050"/>
    <pageSetUpPr fitToPage="1"/>
  </sheetPr>
  <dimension ref="A1:AC44"/>
  <sheetViews>
    <sheetView workbookViewId="0">
      <selection activeCell="AG21" sqref="AG21"/>
    </sheetView>
  </sheetViews>
  <sheetFormatPr defaultRowHeight="15" outlineLevelCol="1"/>
  <cols>
    <col min="1" max="1" width="30" customWidth="1"/>
    <col min="2" max="2" width="29.42578125" customWidth="1"/>
    <col min="3" max="5" width="10.7109375" customWidth="1"/>
    <col min="6" max="6" width="10.140625" customWidth="1"/>
    <col min="7" max="7" width="10.7109375" hidden="1" customWidth="1" outlineLevel="1"/>
    <col min="8" max="8" width="10.140625" hidden="1" customWidth="1" outlineLevel="1"/>
    <col min="9" max="9" width="10.7109375" hidden="1" customWidth="1" outlineLevel="1"/>
    <col min="10" max="10" width="1.7109375" hidden="1" customWidth="1" outlineLevel="1"/>
    <col min="11" max="11" width="10.7109375" customWidth="1" collapsed="1"/>
    <col min="12" max="12" width="10.7109375" customWidth="1"/>
    <col min="13" max="13" width="3.28515625" customWidth="1"/>
    <col min="14" max="14" width="26.28515625" customWidth="1"/>
    <col min="15" max="15" width="15.85546875" customWidth="1"/>
    <col min="16" max="16" width="2.85546875" customWidth="1"/>
    <col min="17" max="19" width="8.7109375" customWidth="1"/>
    <col min="20" max="26" width="8.7109375" hidden="1" customWidth="1" outlineLevel="1"/>
    <col min="27" max="27" width="2.42578125" hidden="1" customWidth="1" outlineLevel="1"/>
    <col min="28" max="28" width="8.7109375" customWidth="1" collapsed="1"/>
    <col min="29" max="29" width="12.7109375" customWidth="1"/>
  </cols>
  <sheetData>
    <row r="1" spans="1:29" ht="26.25">
      <c r="A1" s="99" t="s">
        <v>222</v>
      </c>
      <c r="B1" s="524" t="s">
        <v>223</v>
      </c>
      <c r="C1" s="524"/>
      <c r="D1" s="524"/>
      <c r="E1" s="524"/>
      <c r="F1" s="524"/>
      <c r="G1" s="524"/>
      <c r="H1" s="524"/>
      <c r="I1" s="524"/>
      <c r="J1" s="524"/>
      <c r="K1" s="524"/>
      <c r="L1" s="524"/>
      <c r="M1" s="524"/>
      <c r="N1" s="524"/>
      <c r="O1" s="524"/>
      <c r="P1" s="524"/>
      <c r="Q1" s="524"/>
      <c r="R1" s="524"/>
      <c r="S1" s="524"/>
      <c r="T1" s="524"/>
      <c r="U1" s="524"/>
      <c r="V1" s="524"/>
      <c r="W1" s="524"/>
      <c r="X1" s="524"/>
      <c r="Y1" s="524"/>
      <c r="Z1" s="524"/>
      <c r="AA1" s="524"/>
      <c r="AB1" s="524"/>
    </row>
    <row r="2" spans="1:29" ht="18.75">
      <c r="A2" s="530" t="s">
        <v>224</v>
      </c>
      <c r="B2" s="531"/>
      <c r="C2" s="531"/>
      <c r="D2" s="531"/>
      <c r="E2" s="531"/>
      <c r="F2" s="531"/>
      <c r="G2" s="531"/>
      <c r="H2" s="531"/>
      <c r="I2" s="531"/>
      <c r="J2" s="531"/>
      <c r="K2" s="531"/>
      <c r="L2" s="531"/>
      <c r="M2" s="306"/>
      <c r="N2" s="532"/>
      <c r="O2" s="532"/>
      <c r="P2" s="532"/>
      <c r="Q2" s="532"/>
      <c r="R2" s="532"/>
      <c r="S2" s="532"/>
      <c r="T2" s="532"/>
      <c r="U2" s="532"/>
      <c r="V2" s="532"/>
      <c r="W2" s="532"/>
      <c r="X2" s="532"/>
      <c r="Y2" s="532"/>
      <c r="Z2" s="532"/>
      <c r="AA2" s="532"/>
      <c r="AB2" s="533"/>
    </row>
    <row r="3" spans="1:29" ht="25.5" customHeight="1">
      <c r="A3" s="141"/>
      <c r="C3" s="534" t="s">
        <v>225</v>
      </c>
      <c r="D3" s="535"/>
      <c r="E3" s="534" t="s">
        <v>226</v>
      </c>
      <c r="F3" s="535"/>
      <c r="G3" s="534"/>
      <c r="H3" s="535"/>
      <c r="I3" s="534"/>
      <c r="J3" s="535"/>
      <c r="K3" s="536" t="s">
        <v>227</v>
      </c>
      <c r="L3" s="537"/>
      <c r="M3" s="141"/>
      <c r="N3" s="538" t="s">
        <v>228</v>
      </c>
      <c r="O3" s="539"/>
      <c r="P3" s="48"/>
      <c r="Q3" s="527" t="s">
        <v>10</v>
      </c>
      <c r="R3" s="528"/>
      <c r="S3" s="528"/>
      <c r="T3" s="528"/>
      <c r="U3" s="528"/>
      <c r="V3" s="528"/>
      <c r="W3" s="528"/>
      <c r="X3" s="528"/>
      <c r="Y3" s="528"/>
      <c r="Z3" s="528"/>
      <c r="AA3" s="529"/>
      <c r="AB3" s="309"/>
    </row>
    <row r="4" spans="1:29" ht="16.5" customHeight="1">
      <c r="A4" s="128" t="s">
        <v>229</v>
      </c>
      <c r="B4" s="2" t="s">
        <v>230</v>
      </c>
      <c r="C4" s="40">
        <f>(O4)</f>
        <v>23863.621904112704</v>
      </c>
      <c r="E4" s="40">
        <f>O5</f>
        <v>5500</v>
      </c>
      <c r="F4" s="71"/>
      <c r="G4" s="40"/>
      <c r="H4" s="71"/>
      <c r="I4" s="40"/>
      <c r="J4" s="71"/>
      <c r="K4" s="58">
        <f>E4+C4</f>
        <v>29363.621904112704</v>
      </c>
      <c r="L4" s="305"/>
      <c r="M4" s="141"/>
      <c r="N4" s="209" t="s">
        <v>28</v>
      </c>
      <c r="O4" s="210">
        <f>B38/B39</f>
        <v>23863.621904112704</v>
      </c>
      <c r="P4" s="48"/>
      <c r="Q4" s="100" t="s">
        <v>231</v>
      </c>
      <c r="R4" s="77" t="s">
        <v>232</v>
      </c>
      <c r="S4" s="395">
        <v>45748</v>
      </c>
      <c r="T4" s="77"/>
      <c r="U4" s="77"/>
      <c r="V4" s="77"/>
      <c r="W4" s="77"/>
      <c r="X4" s="100"/>
      <c r="Y4" s="100"/>
      <c r="Z4" s="77"/>
      <c r="AA4" s="22"/>
      <c r="AB4" s="525" t="s">
        <v>233</v>
      </c>
    </row>
    <row r="5" spans="1:29">
      <c r="A5" s="128" t="s">
        <v>234</v>
      </c>
      <c r="B5" s="2" t="s">
        <v>235</v>
      </c>
      <c r="C5" s="78">
        <f>C6+C7+C8+C9+C10+C11+C13+C14+C17+C15+C12+C16</f>
        <v>12212.398782151371</v>
      </c>
      <c r="D5" s="2"/>
      <c r="E5" s="78">
        <f>E6+E7+E8+E9+E10+E11+E13+E14+E17+E15+E12</f>
        <v>4525.7257557831363</v>
      </c>
      <c r="F5" s="9"/>
      <c r="G5" s="78">
        <f>G6+G7+G8+G9+G10+G11+G13+G14+G17+G15+G12</f>
        <v>0</v>
      </c>
      <c r="H5" s="9"/>
      <c r="I5" s="78">
        <f>I6+I7+I8+I9+I10+I11+I13+I14+I17+I15+I12</f>
        <v>0</v>
      </c>
      <c r="J5" s="9"/>
      <c r="K5" s="5">
        <f>K6+K7+K8+K9+K10+K11+K13+K14+K17+K15+K12+K16</f>
        <v>16738.124537934509</v>
      </c>
      <c r="L5" s="283"/>
      <c r="M5" s="141"/>
      <c r="N5" s="258" t="s">
        <v>32</v>
      </c>
      <c r="O5" s="259">
        <f>2000+3500</f>
        <v>5500</v>
      </c>
      <c r="Q5" s="37">
        <v>1</v>
      </c>
      <c r="R5" s="37">
        <v>2</v>
      </c>
      <c r="S5" s="37">
        <v>3</v>
      </c>
      <c r="T5" s="37">
        <v>4</v>
      </c>
      <c r="U5" s="37">
        <v>5</v>
      </c>
      <c r="V5" s="37">
        <v>6</v>
      </c>
      <c r="W5" s="24">
        <v>7</v>
      </c>
      <c r="X5" s="24">
        <v>8</v>
      </c>
      <c r="Y5" s="24">
        <v>9</v>
      </c>
      <c r="Z5" s="24">
        <v>10</v>
      </c>
      <c r="AA5" s="24">
        <v>11</v>
      </c>
      <c r="AB5" s="526"/>
    </row>
    <row r="6" spans="1:29">
      <c r="A6" s="129" t="s">
        <v>236</v>
      </c>
      <c r="B6" s="38" t="s">
        <v>237</v>
      </c>
      <c r="C6" s="160">
        <f>C42+163+166.07+249.92+33.02+24.09+10.1+13.8+59.28</f>
        <v>1029.31</v>
      </c>
      <c r="D6" s="411">
        <f>C6+C7+C8</f>
        <v>3595.991818181818</v>
      </c>
      <c r="E6" s="412">
        <f>129.58+190.61</f>
        <v>320.19000000000005</v>
      </c>
      <c r="F6" s="10">
        <f>E6+E7+E8</f>
        <v>2250.19</v>
      </c>
      <c r="G6" s="155"/>
      <c r="H6" s="150">
        <f>G6+G7+G8</f>
        <v>0</v>
      </c>
      <c r="I6" s="155"/>
      <c r="J6" s="150">
        <f>I6+I7+I8</f>
        <v>0</v>
      </c>
      <c r="K6" s="6">
        <f>C6+E6+G6+I6</f>
        <v>1349.5</v>
      </c>
      <c r="L6" s="284">
        <f>K6+K7+K8</f>
        <v>5846.181818181818</v>
      </c>
      <c r="M6" s="141"/>
      <c r="N6" s="211" t="s">
        <v>238</v>
      </c>
      <c r="O6" s="212">
        <v>38.5</v>
      </c>
      <c r="Q6" s="149">
        <f>AB6</f>
        <v>188</v>
      </c>
      <c r="R6" s="149"/>
      <c r="S6" s="148"/>
      <c r="T6" s="148"/>
      <c r="U6" s="148"/>
      <c r="V6" s="148"/>
      <c r="W6" s="148"/>
      <c r="X6" s="148"/>
      <c r="Y6" s="148"/>
      <c r="Z6" s="148"/>
      <c r="AA6" s="148"/>
      <c r="AB6" s="310">
        <v>188</v>
      </c>
    </row>
    <row r="7" spans="1:29">
      <c r="A7" s="131" t="s">
        <v>239</v>
      </c>
      <c r="B7" s="42" t="s">
        <v>240</v>
      </c>
      <c r="C7" s="160"/>
      <c r="D7" s="412"/>
      <c r="E7" s="411">
        <v>1930</v>
      </c>
      <c r="F7" s="10"/>
      <c r="G7" s="150"/>
      <c r="H7" s="150"/>
      <c r="I7" s="150"/>
      <c r="J7" s="150"/>
      <c r="K7" s="6">
        <f>C7+E7+G7+I7</f>
        <v>1930</v>
      </c>
      <c r="L7" s="284"/>
      <c r="M7" s="141"/>
      <c r="N7" s="213" t="s">
        <v>241</v>
      </c>
      <c r="O7" s="214" t="s">
        <v>242</v>
      </c>
      <c r="Q7" s="147">
        <f>132+2</f>
        <v>134</v>
      </c>
      <c r="R7" s="146">
        <f>16+16.47</f>
        <v>32.47</v>
      </c>
      <c r="S7" s="146"/>
      <c r="T7" s="146"/>
      <c r="U7" s="146"/>
      <c r="V7" s="146"/>
      <c r="W7" s="146"/>
      <c r="X7" s="146"/>
      <c r="Y7" s="146"/>
      <c r="Z7" s="146"/>
      <c r="AA7" s="146"/>
      <c r="AB7" s="311">
        <f>Q7+R7+S7+T7+U7+V7+AA7+W7+X7+Y7+Z7</f>
        <v>166.47</v>
      </c>
      <c r="AC7" s="49"/>
    </row>
    <row r="8" spans="1:29">
      <c r="A8" s="132" t="s">
        <v>243</v>
      </c>
      <c r="B8" s="39" t="s">
        <v>244</v>
      </c>
      <c r="C8" s="66">
        <f>K43+K44+14696/11</f>
        <v>2566.681818181818</v>
      </c>
      <c r="D8" s="11"/>
      <c r="E8" s="68"/>
      <c r="F8" s="11"/>
      <c r="G8" s="68"/>
      <c r="H8" s="11"/>
      <c r="I8" s="68"/>
      <c r="J8" s="11"/>
      <c r="K8" s="88">
        <f>C8+E8+G8+I8</f>
        <v>2566.681818181818</v>
      </c>
      <c r="L8" s="1"/>
      <c r="M8" s="141"/>
      <c r="N8" s="215" t="s">
        <v>245</v>
      </c>
      <c r="O8" s="307">
        <v>13</v>
      </c>
      <c r="AB8" s="133"/>
    </row>
    <row r="9" spans="1:29">
      <c r="A9" s="129" t="s">
        <v>246</v>
      </c>
      <c r="B9" s="38" t="s">
        <v>247</v>
      </c>
      <c r="C9" s="159">
        <f>((132.72-34.35+1.5)*15.02+34.85*16.02+12*4*7.51+12*8.01+600-C13)*1.48</f>
        <v>1946.1177119999998</v>
      </c>
      <c r="D9" s="413">
        <f>C9+C10+C11+C13+C12</f>
        <v>6068.0769639695536</v>
      </c>
      <c r="E9" s="413">
        <f>((16*15.02+8.31*7.51+100+16.47*16.02+8.31*8.01+12*8.01+100)-E13)*1.48</f>
        <v>931.30568799999992</v>
      </c>
      <c r="F9" s="63">
        <f>E9+E10+E11+E13+E12</f>
        <v>1928.0807557831361</v>
      </c>
      <c r="G9" s="157"/>
      <c r="H9" s="154">
        <f>G9+G10+G11+G13+G12</f>
        <v>0</v>
      </c>
      <c r="I9" s="157"/>
      <c r="J9" s="154">
        <f>I9+I10+I11+I13+I12</f>
        <v>0</v>
      </c>
      <c r="K9" s="6">
        <f>C9+E9+G9+I9</f>
        <v>2877.4233999999997</v>
      </c>
      <c r="L9" s="285">
        <f>K9+K10+K11+K13+K12</f>
        <v>7996.1577197526894</v>
      </c>
      <c r="M9" s="141"/>
      <c r="N9" s="217" t="s">
        <v>248</v>
      </c>
      <c r="O9" s="218">
        <v>12</v>
      </c>
      <c r="AB9" s="133"/>
    </row>
    <row r="10" spans="1:29">
      <c r="A10" s="131" t="s">
        <v>249</v>
      </c>
      <c r="B10" s="42" t="s">
        <v>250</v>
      </c>
      <c r="C10" s="160">
        <f>C9*0.2359</f>
        <v>459.08916826079997</v>
      </c>
      <c r="D10" s="412"/>
      <c r="E10" s="411">
        <f>E9*0.2359</f>
        <v>219.69501179919999</v>
      </c>
      <c r="F10" s="10"/>
      <c r="G10" s="151">
        <f>G9*0.2359</f>
        <v>0</v>
      </c>
      <c r="H10" s="150"/>
      <c r="I10" s="151">
        <f>I9*0.2359</f>
        <v>0</v>
      </c>
      <c r="J10" s="150"/>
      <c r="K10" s="6">
        <f>C10+E10+G10+I10</f>
        <v>678.78418005999993</v>
      </c>
      <c r="L10" s="1"/>
      <c r="M10" s="141"/>
      <c r="AB10" s="133"/>
    </row>
    <row r="11" spans="1:29">
      <c r="A11" s="131" t="s">
        <v>251</v>
      </c>
      <c r="B11" s="42" t="s">
        <v>252</v>
      </c>
      <c r="C11" s="160">
        <f>(C9+C10)*0.08</f>
        <v>192.41655042086398</v>
      </c>
      <c r="D11" s="412"/>
      <c r="E11" s="411">
        <f>(E9+E10)*0.08</f>
        <v>92.080055983936006</v>
      </c>
      <c r="F11" s="10"/>
      <c r="G11" s="151">
        <f>(G9+G10)*0.08</f>
        <v>0</v>
      </c>
      <c r="H11" s="150"/>
      <c r="I11" s="151">
        <f>(I9+I10)*0.08</f>
        <v>0</v>
      </c>
      <c r="J11" s="150"/>
      <c r="K11" s="6">
        <f>C11+E11+G11+I11</f>
        <v>284.49660640479999</v>
      </c>
      <c r="L11" s="1"/>
      <c r="M11" s="141"/>
      <c r="N11" s="544" t="s">
        <v>253</v>
      </c>
      <c r="O11" s="545"/>
      <c r="AB11" s="133"/>
    </row>
    <row r="12" spans="1:29">
      <c r="A12" s="134" t="s">
        <v>254</v>
      </c>
      <c r="B12" s="44" t="s">
        <v>14</v>
      </c>
      <c r="C12" s="160">
        <f>(C4)*0.07</f>
        <v>1670.4535332878895</v>
      </c>
      <c r="D12" s="412"/>
      <c r="E12" s="411">
        <f>(E4)*0.07</f>
        <v>385.00000000000006</v>
      </c>
      <c r="F12" s="56"/>
      <c r="G12" s="152">
        <f>(G13+G11+G10+G9)*0.07</f>
        <v>0</v>
      </c>
      <c r="H12" s="155"/>
      <c r="I12" s="152">
        <f>(I13+I11+I10+I9)*0.07</f>
        <v>0</v>
      </c>
      <c r="J12" s="155"/>
      <c r="K12" s="6">
        <f>C12+E12+G12+I12</f>
        <v>2055.4535332878895</v>
      </c>
      <c r="L12" s="1"/>
      <c r="M12" s="141"/>
      <c r="N12" s="219" t="s">
        <v>255</v>
      </c>
      <c r="O12" s="220">
        <v>804.01</v>
      </c>
      <c r="AB12" s="133"/>
    </row>
    <row r="13" spans="1:29">
      <c r="A13" s="131" t="s">
        <v>256</v>
      </c>
      <c r="B13" s="42" t="s">
        <v>257</v>
      </c>
      <c r="C13" s="414">
        <f>9*50*4</f>
        <v>1800</v>
      </c>
      <c r="D13" s="415"/>
      <c r="E13" s="416">
        <f>3*2*50</f>
        <v>300</v>
      </c>
      <c r="F13" s="57"/>
      <c r="G13" s="156"/>
      <c r="H13" s="153"/>
      <c r="I13" s="156"/>
      <c r="J13" s="153"/>
      <c r="K13" s="88">
        <f>C13+E13+G13+I13</f>
        <v>2100</v>
      </c>
      <c r="L13" s="286"/>
      <c r="M13" s="141"/>
      <c r="N13" s="221" t="s">
        <v>258</v>
      </c>
      <c r="O13" s="222">
        <f>K6+K7</f>
        <v>3279.5</v>
      </c>
      <c r="AB13" s="133"/>
    </row>
    <row r="14" spans="1:29" ht="30.75" customHeight="1">
      <c r="A14" s="135" t="s">
        <v>259</v>
      </c>
      <c r="B14" s="38" t="s">
        <v>260</v>
      </c>
      <c r="C14" s="319">
        <v>945.48</v>
      </c>
      <c r="D14" s="411">
        <f>C14+C17+C15+C16</f>
        <v>2548.33</v>
      </c>
      <c r="E14" s="412">
        <v>203</v>
      </c>
      <c r="F14" s="67">
        <f>E14+E17+E15</f>
        <v>347.45500000000004</v>
      </c>
      <c r="G14" s="152"/>
      <c r="H14" s="150">
        <f>G14+G17+G15</f>
        <v>0</v>
      </c>
      <c r="I14" s="152"/>
      <c r="J14" s="150">
        <f>I14+I17+I15</f>
        <v>0</v>
      </c>
      <c r="K14" s="6">
        <f>C14+E14+G14+I14</f>
        <v>1148.48</v>
      </c>
      <c r="L14" s="1">
        <f>K14+K17+K15+K16</f>
        <v>2895.7849999999999</v>
      </c>
      <c r="M14" s="141"/>
      <c r="AB14" s="133"/>
    </row>
    <row r="15" spans="1:29">
      <c r="A15" s="136" t="s">
        <v>261</v>
      </c>
      <c r="B15" s="42" t="s">
        <v>262</v>
      </c>
      <c r="C15" s="160">
        <f>600.7/2</f>
        <v>300.35000000000002</v>
      </c>
      <c r="D15" s="412"/>
      <c r="E15" s="412"/>
      <c r="F15" s="10"/>
      <c r="G15" s="150"/>
      <c r="H15" s="150"/>
      <c r="I15" s="150"/>
      <c r="J15" s="150"/>
      <c r="K15" s="6">
        <f>C15+E15+G15+I15</f>
        <v>300.35000000000002</v>
      </c>
      <c r="L15" s="1"/>
      <c r="M15" s="141"/>
      <c r="N15" s="546" t="s">
        <v>263</v>
      </c>
      <c r="O15" s="547"/>
      <c r="AB15" s="133"/>
    </row>
    <row r="16" spans="1:29" ht="27">
      <c r="A16" s="136" t="s">
        <v>264</v>
      </c>
      <c r="B16" s="42" t="s">
        <v>265</v>
      </c>
      <c r="C16" s="160">
        <f>471.73</f>
        <v>471.73</v>
      </c>
      <c r="D16" s="412"/>
      <c r="E16" s="412"/>
      <c r="F16" s="10"/>
      <c r="G16" s="150"/>
      <c r="H16" s="150"/>
      <c r="I16" s="150"/>
      <c r="J16" s="150"/>
      <c r="K16" s="6">
        <f>C16+E16+G16+I16</f>
        <v>471.73</v>
      </c>
      <c r="L16" s="1"/>
      <c r="M16" s="141"/>
      <c r="N16" s="219" t="s">
        <v>255</v>
      </c>
      <c r="O16" s="220">
        <v>6568.84</v>
      </c>
      <c r="AB16" s="133"/>
    </row>
    <row r="17" spans="1:28">
      <c r="A17" s="131" t="s">
        <v>266</v>
      </c>
      <c r="B17" s="42" t="s">
        <v>267</v>
      </c>
      <c r="C17" s="319">
        <f>967.14/2+11.53+6.69+11.43+65.64+1.88+5.84+1.51+3.93+19.23+125+94.52</f>
        <v>830.76999999999987</v>
      </c>
      <c r="D17" s="412"/>
      <c r="E17" s="412">
        <f>73.5+30.01+81.89/2</f>
        <v>144.45500000000001</v>
      </c>
      <c r="F17" s="10"/>
      <c r="G17" s="150"/>
      <c r="H17" s="150"/>
      <c r="I17" s="150"/>
      <c r="J17" s="150"/>
      <c r="K17" s="6">
        <f>C17+E17+G17+I17</f>
        <v>975.22499999999991</v>
      </c>
      <c r="L17" s="1"/>
      <c r="M17" s="141"/>
      <c r="N17" s="223" t="s">
        <v>258</v>
      </c>
      <c r="O17" s="224">
        <f>L9-K12</f>
        <v>5940.7041864647999</v>
      </c>
      <c r="AB17" s="133"/>
    </row>
    <row r="18" spans="1:28">
      <c r="A18" s="250" t="s">
        <v>268</v>
      </c>
      <c r="B18" s="204" t="s">
        <v>269</v>
      </c>
      <c r="C18" s="205">
        <f>C4-C5</f>
        <v>11651.223121961333</v>
      </c>
      <c r="D18" s="264">
        <f>C18/C4</f>
        <v>0.48824202666206917</v>
      </c>
      <c r="E18" s="312">
        <f>E4-E5</f>
        <v>974.27424421686374</v>
      </c>
      <c r="F18" s="206">
        <f>E18/E4</f>
        <v>0.1771407716757934</v>
      </c>
      <c r="G18" s="312">
        <f>G4-G5</f>
        <v>0</v>
      </c>
      <c r="H18" s="206" t="e">
        <f>G18/G4</f>
        <v>#DIV/0!</v>
      </c>
      <c r="I18" s="312">
        <f>I4-I5</f>
        <v>0</v>
      </c>
      <c r="J18" s="206" t="e">
        <f>I18/I4</f>
        <v>#DIV/0!</v>
      </c>
      <c r="K18" s="208">
        <f>K4-K5</f>
        <v>12625.497366178195</v>
      </c>
      <c r="L18" s="264">
        <f>K18/K4</f>
        <v>0.42997071026888045</v>
      </c>
      <c r="M18" s="141"/>
      <c r="N18" s="235" t="s">
        <v>46</v>
      </c>
      <c r="O18" s="298">
        <f>O16/AB6</f>
        <v>34.94063829787234</v>
      </c>
      <c r="AB18" s="133"/>
    </row>
    <row r="19" spans="1:28">
      <c r="A19" s="199" t="s">
        <v>270</v>
      </c>
      <c r="B19" s="199" t="s">
        <v>271</v>
      </c>
      <c r="C19" s="199"/>
      <c r="D19" s="199"/>
      <c r="E19" s="199"/>
      <c r="F19" s="199"/>
      <c r="G19" s="199"/>
      <c r="H19" s="199"/>
      <c r="I19" s="199"/>
      <c r="J19" s="199"/>
      <c r="K19" s="291">
        <f>O4-17941.79</f>
        <v>5921.8319041127033</v>
      </c>
      <c r="L19" s="98">
        <f>K19/O4</f>
        <v>0.24815310634351456</v>
      </c>
      <c r="N19" s="237" t="s">
        <v>55</v>
      </c>
      <c r="O19" s="314">
        <f>O17/AB7</f>
        <v>35.686334994081818</v>
      </c>
      <c r="Q19" s="527" t="s">
        <v>272</v>
      </c>
      <c r="R19" s="528"/>
      <c r="S19" s="528"/>
      <c r="T19" s="528"/>
      <c r="U19" s="528"/>
      <c r="V19" s="528"/>
      <c r="W19" s="528"/>
      <c r="X19" s="528"/>
      <c r="Y19" s="528"/>
      <c r="Z19" s="528"/>
      <c r="AA19" s="529"/>
      <c r="AB19" s="190"/>
    </row>
    <row r="20" spans="1:28" ht="23.25">
      <c r="A20" s="141"/>
      <c r="D20" s="46"/>
      <c r="E20" s="46"/>
      <c r="F20" s="46"/>
      <c r="G20" s="46"/>
      <c r="H20" s="46"/>
      <c r="I20" s="46"/>
      <c r="J20" s="46"/>
      <c r="M20" s="141"/>
      <c r="Q20" s="100" t="s">
        <v>231</v>
      </c>
      <c r="R20" s="77" t="s">
        <v>232</v>
      </c>
      <c r="S20" s="395">
        <v>45748</v>
      </c>
      <c r="T20" s="77" t="s">
        <v>273</v>
      </c>
      <c r="U20" s="77" t="s">
        <v>274</v>
      </c>
      <c r="V20" s="77" t="s">
        <v>275</v>
      </c>
      <c r="W20" s="77" t="s">
        <v>276</v>
      </c>
      <c r="X20" s="100" t="s">
        <v>277</v>
      </c>
      <c r="Y20" s="100" t="s">
        <v>278</v>
      </c>
      <c r="Z20" s="100">
        <f>Z4</f>
        <v>0</v>
      </c>
      <c r="AA20" s="21">
        <f>AA4</f>
        <v>0</v>
      </c>
      <c r="AB20" s="542" t="s">
        <v>233</v>
      </c>
    </row>
    <row r="21" spans="1:28" ht="30.75">
      <c r="A21" s="254" t="s">
        <v>279</v>
      </c>
      <c r="B21" s="301" t="s">
        <v>280</v>
      </c>
      <c r="C21" s="302" t="s">
        <v>281</v>
      </c>
      <c r="D21" s="47"/>
      <c r="E21" s="47"/>
      <c r="F21" s="47"/>
      <c r="G21" s="308"/>
      <c r="H21" s="308"/>
      <c r="I21" s="308"/>
      <c r="J21" s="308"/>
      <c r="M21" s="141"/>
      <c r="N21" s="233" t="s">
        <v>282</v>
      </c>
      <c r="O21" s="234"/>
      <c r="Q21" s="32">
        <v>1</v>
      </c>
      <c r="R21" s="32">
        <v>2</v>
      </c>
      <c r="S21" s="32">
        <v>3</v>
      </c>
      <c r="T21" s="32">
        <v>4</v>
      </c>
      <c r="U21" s="32">
        <v>5</v>
      </c>
      <c r="V21" s="32">
        <v>6</v>
      </c>
      <c r="W21" s="32">
        <v>7</v>
      </c>
      <c r="X21" s="32">
        <v>8</v>
      </c>
      <c r="Y21" s="32">
        <v>9</v>
      </c>
      <c r="Z21" s="32">
        <v>10</v>
      </c>
      <c r="AA21" s="32">
        <v>11</v>
      </c>
      <c r="AB21" s="543"/>
    </row>
    <row r="22" spans="1:28" ht="27">
      <c r="A22" s="138" t="s">
        <v>283</v>
      </c>
      <c r="B22" s="271">
        <f>L6/K5</f>
        <v>0.34927340903291182</v>
      </c>
      <c r="C22" s="268">
        <f>804.01/17941.79</f>
        <v>4.481213970289475E-2</v>
      </c>
      <c r="D22" s="47"/>
      <c r="E22" s="47"/>
      <c r="F22" s="47"/>
      <c r="G22" s="308"/>
      <c r="H22" s="308"/>
      <c r="I22" s="308"/>
      <c r="J22" s="308"/>
      <c r="M22" s="141"/>
      <c r="N22" s="227" t="s">
        <v>255</v>
      </c>
      <c r="O22" s="228">
        <f>AB6/O6</f>
        <v>4.883116883116883</v>
      </c>
      <c r="Q22" s="34">
        <v>3400</v>
      </c>
      <c r="R22" s="34"/>
      <c r="S22" s="34"/>
      <c r="T22" s="34"/>
      <c r="U22" s="34"/>
      <c r="V22" s="34"/>
      <c r="W22" s="34"/>
      <c r="X22" s="34"/>
      <c r="Y22" s="34"/>
      <c r="Z22" s="34"/>
      <c r="AA22" s="34"/>
      <c r="AB22" s="192">
        <f>O27</f>
        <v>3400</v>
      </c>
    </row>
    <row r="23" spans="1:28">
      <c r="A23" s="139" t="s">
        <v>263</v>
      </c>
      <c r="B23" s="271">
        <f>L9/K5</f>
        <v>0.47772124658473941</v>
      </c>
      <c r="C23" s="268">
        <f>6568.84/17941.79</f>
        <v>0.3661195454857068</v>
      </c>
      <c r="D23" s="47"/>
      <c r="E23" s="47"/>
      <c r="F23" s="47"/>
      <c r="G23" s="308"/>
      <c r="H23" s="308"/>
      <c r="I23" s="308"/>
      <c r="J23" s="308"/>
      <c r="M23" s="141"/>
      <c r="N23" s="229" t="s">
        <v>258</v>
      </c>
      <c r="O23" s="230">
        <f>AB7/O6</f>
        <v>4.3238961038961037</v>
      </c>
      <c r="Q23" s="335">
        <f>K14+K15-203</f>
        <v>1245.83</v>
      </c>
      <c r="R23" s="36"/>
      <c r="S23" s="36">
        <v>203</v>
      </c>
      <c r="T23" s="36"/>
      <c r="U23" s="36"/>
      <c r="V23" s="36"/>
      <c r="W23" s="36"/>
      <c r="X23" s="36"/>
      <c r="Y23" s="36"/>
      <c r="Z23" s="36"/>
      <c r="AA23" s="36"/>
      <c r="AB23" s="294">
        <f>Q23+R23+S23+T23+U23+V23+AA23+W23+X23+Y23+Z23</f>
        <v>1448.83</v>
      </c>
    </row>
    <row r="24" spans="1:28">
      <c r="A24" s="140" t="s">
        <v>284</v>
      </c>
      <c r="B24" s="272">
        <f>L14/K5</f>
        <v>0.17300534438234863</v>
      </c>
      <c r="C24" s="269">
        <f>10568.95/17941.79</f>
        <v>0.58906887216938775</v>
      </c>
      <c r="M24" s="141"/>
      <c r="N24" s="225" t="s">
        <v>285</v>
      </c>
      <c r="O24" s="226">
        <f>O23*O19</f>
        <v>154.30400484324156</v>
      </c>
      <c r="AB24" s="133"/>
    </row>
    <row r="25" spans="1:28">
      <c r="A25" s="141"/>
      <c r="M25" s="141"/>
      <c r="AB25" s="133"/>
    </row>
    <row r="26" spans="1:28" ht="26.25" customHeight="1">
      <c r="A26" s="141"/>
      <c r="M26" s="141"/>
      <c r="N26" s="231" t="s">
        <v>272</v>
      </c>
      <c r="O26" s="232"/>
      <c r="AB26" s="133"/>
    </row>
    <row r="27" spans="1:28" ht="27.75" customHeight="1">
      <c r="A27" s="141"/>
      <c r="M27" s="141"/>
      <c r="N27" s="219" t="s">
        <v>255</v>
      </c>
      <c r="O27" s="220">
        <f>1500+1900</f>
        <v>3400</v>
      </c>
      <c r="AB27" s="133"/>
    </row>
    <row r="28" spans="1:28">
      <c r="A28" s="141"/>
      <c r="M28" s="141"/>
      <c r="N28" s="223" t="s">
        <v>258</v>
      </c>
      <c r="O28" s="224">
        <f>K14+K15</f>
        <v>1448.83</v>
      </c>
      <c r="AB28" s="133"/>
    </row>
    <row r="29" spans="1:28">
      <c r="A29" s="141"/>
      <c r="M29" s="141"/>
      <c r="N29" s="225" t="s">
        <v>286</v>
      </c>
      <c r="O29" s="226">
        <f>O28/AB7</f>
        <v>8.7032498348050691</v>
      </c>
      <c r="AB29" s="133"/>
    </row>
    <row r="30" spans="1:28">
      <c r="A30" s="141"/>
      <c r="M30" s="141"/>
      <c r="AB30" s="133"/>
    </row>
    <row r="31" spans="1:28">
      <c r="A31" s="141"/>
      <c r="M31" s="141"/>
      <c r="N31" s="101" t="s">
        <v>287</v>
      </c>
      <c r="O31" s="59"/>
      <c r="AB31" s="133"/>
    </row>
    <row r="32" spans="1:28" ht="30.75">
      <c r="A32" s="141"/>
      <c r="M32" s="141"/>
      <c r="N32" s="7" t="s">
        <v>288</v>
      </c>
      <c r="O32" s="59"/>
      <c r="AB32" s="133"/>
    </row>
    <row r="33" spans="1:28">
      <c r="A33" s="141"/>
      <c r="M33" s="141"/>
      <c r="AB33" s="133"/>
    </row>
    <row r="34" spans="1:28">
      <c r="A34" s="141"/>
      <c r="M34" s="141"/>
      <c r="N34" s="541" t="s">
        <v>289</v>
      </c>
      <c r="O34" s="541"/>
      <c r="AB34" s="133"/>
    </row>
    <row r="35" spans="1:28">
      <c r="A35" s="142"/>
      <c r="B35" s="143"/>
      <c r="C35" s="143"/>
      <c r="D35" s="143"/>
      <c r="E35" s="143"/>
      <c r="F35" s="143"/>
      <c r="G35" s="143"/>
      <c r="H35" s="143"/>
      <c r="I35" s="143"/>
      <c r="J35" s="143"/>
      <c r="K35" s="143"/>
      <c r="L35" s="143"/>
      <c r="M35" s="142"/>
      <c r="N35" s="540">
        <v>45785</v>
      </c>
      <c r="O35" s="540"/>
      <c r="P35" s="143"/>
      <c r="Q35" s="143"/>
      <c r="R35" s="143"/>
      <c r="S35" s="143"/>
      <c r="T35" s="143"/>
      <c r="U35" s="143"/>
      <c r="V35" s="143"/>
      <c r="W35" s="143"/>
      <c r="X35" s="143"/>
      <c r="Y35" s="143"/>
      <c r="Z35" s="143"/>
      <c r="AA35" s="143"/>
      <c r="AB35" s="144"/>
    </row>
    <row r="37" spans="1:28">
      <c r="A37" s="95"/>
      <c r="B37" s="111"/>
      <c r="C37" s="93">
        <v>0.5</v>
      </c>
      <c r="D37" s="93">
        <v>0.5</v>
      </c>
    </row>
    <row r="38" spans="1:28">
      <c r="A38" s="94" t="s">
        <v>290</v>
      </c>
      <c r="B38" s="194">
        <v>262559.5</v>
      </c>
      <c r="C38">
        <f>ROUND(B38/2,2)</f>
        <v>131279.75</v>
      </c>
      <c r="D38">
        <f>C38</f>
        <v>131279.75</v>
      </c>
      <c r="M38" s="1"/>
    </row>
    <row r="39" spans="1:28">
      <c r="A39" s="332" t="s">
        <v>291</v>
      </c>
      <c r="B39" s="333">
        <v>11.0025</v>
      </c>
    </row>
    <row r="40" spans="1:28">
      <c r="A40" s="94" t="s">
        <v>292</v>
      </c>
      <c r="B40" s="194">
        <f>ROUND(B38/B39,2)</f>
        <v>23863.62</v>
      </c>
      <c r="C40">
        <f>B40/2</f>
        <v>11931.81</v>
      </c>
      <c r="D40">
        <f>C40</f>
        <v>11931.81</v>
      </c>
    </row>
    <row r="42" spans="1:28">
      <c r="B42" t="s">
        <v>293</v>
      </c>
      <c r="C42" s="328">
        <f>156.96+153.07</f>
        <v>310.02999999999997</v>
      </c>
    </row>
    <row r="43" spans="1:28">
      <c r="B43" s="1" t="s">
        <v>294</v>
      </c>
      <c r="C43">
        <v>4758.5</v>
      </c>
      <c r="D43" t="s">
        <v>295</v>
      </c>
      <c r="K43" s="1">
        <f>C43/11</f>
        <v>432.59090909090907</v>
      </c>
      <c r="L43" t="s">
        <v>296</v>
      </c>
    </row>
    <row r="44" spans="1:28">
      <c r="B44" s="1" t="s">
        <v>294</v>
      </c>
      <c r="C44">
        <v>8779</v>
      </c>
      <c r="D44" t="s">
        <v>295</v>
      </c>
      <c r="K44" s="1">
        <f>C44/11</f>
        <v>798.09090909090912</v>
      </c>
    </row>
  </sheetData>
  <mergeCells count="17">
    <mergeCell ref="N35:O35"/>
    <mergeCell ref="N34:O34"/>
    <mergeCell ref="I3:J3"/>
    <mergeCell ref="AB20:AB21"/>
    <mergeCell ref="N11:O11"/>
    <mergeCell ref="N15:O15"/>
    <mergeCell ref="B1:AB1"/>
    <mergeCell ref="AB4:AB5"/>
    <mergeCell ref="Q19:AA19"/>
    <mergeCell ref="A2:L2"/>
    <mergeCell ref="N2:AB2"/>
    <mergeCell ref="C3:D3"/>
    <mergeCell ref="E3:F3"/>
    <mergeCell ref="K3:L3"/>
    <mergeCell ref="N3:O3"/>
    <mergeCell ref="Q3:AA3"/>
    <mergeCell ref="G3:H3"/>
  </mergeCells>
  <conditionalFormatting sqref="O13">
    <cfRule type="cellIs" dxfId="33" priority="6" operator="greaterThan">
      <formula>$O$12</formula>
    </cfRule>
  </conditionalFormatting>
  <conditionalFormatting sqref="O17">
    <cfRule type="cellIs" dxfId="32" priority="5" operator="greaterThan">
      <formula>$O$16</formula>
    </cfRule>
  </conditionalFormatting>
  <conditionalFormatting sqref="O19">
    <cfRule type="cellIs" dxfId="31" priority="4" operator="greaterThan">
      <formula>$O$18</formula>
    </cfRule>
  </conditionalFormatting>
  <conditionalFormatting sqref="O20">
    <cfRule type="cellIs" dxfId="30" priority="9" operator="greaterThan">
      <formula>$K$20</formula>
    </cfRule>
  </conditionalFormatting>
  <conditionalFormatting sqref="O23">
    <cfRule type="cellIs" dxfId="29" priority="1" operator="greaterThan">
      <formula>$O$22</formula>
    </cfRule>
  </conditionalFormatting>
  <conditionalFormatting sqref="O28">
    <cfRule type="cellIs" dxfId="28" priority="2" operator="greaterThan">
      <formula>$O$27</formula>
    </cfRule>
  </conditionalFormatting>
  <conditionalFormatting sqref="AB7">
    <cfRule type="cellIs" dxfId="27" priority="3" operator="greaterThan">
      <formula>$AB$6</formula>
    </cfRule>
  </conditionalFormatting>
  <pageMargins left="0.7" right="0.7" top="0.75" bottom="0.75" header="0.3" footer="0.3"/>
  <pageSetup paperSize="9" orientation="landscape"/>
  <drawing r:id="rId1"/>
  <legacy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DCB5F-B3AE-4BFD-AB16-F7B83C685522}">
  <sheetPr>
    <tabColor rgb="FF00B0F0"/>
    <pageSetUpPr fitToPage="1"/>
  </sheetPr>
  <dimension ref="A1:AA42"/>
  <sheetViews>
    <sheetView workbookViewId="0">
      <selection activeCell="H18" sqref="H18"/>
    </sheetView>
  </sheetViews>
  <sheetFormatPr defaultRowHeight="15" outlineLevelCol="1"/>
  <cols>
    <col min="1" max="1" width="36.42578125" bestFit="1" customWidth="1"/>
    <col min="2" max="2" width="30.140625" bestFit="1" customWidth="1"/>
    <col min="3" max="3" width="12.42578125" customWidth="1"/>
    <col min="4" max="4" width="10.7109375" customWidth="1"/>
    <col min="5" max="5" width="10.7109375" customWidth="1" outlineLevel="1"/>
    <col min="6" max="6" width="10.140625" customWidth="1" outlineLevel="1"/>
    <col min="7" max="8" width="10.7109375" customWidth="1"/>
    <col min="9" max="9" width="3.28515625" customWidth="1"/>
    <col min="10" max="10" width="23.7109375" customWidth="1"/>
    <col min="11" max="11" width="18.140625" bestFit="1" customWidth="1"/>
    <col min="12" max="12" width="2.85546875" customWidth="1"/>
    <col min="13" max="13" width="11.7109375" customWidth="1"/>
    <col min="14" max="15" width="10.7109375" customWidth="1"/>
    <col min="16" max="16" width="10.7109375" hidden="1" customWidth="1" outlineLevel="1"/>
    <col min="17" max="23" width="12.7109375" hidden="1" customWidth="1" outlineLevel="1"/>
    <col min="24" max="24" width="12.7109375" customWidth="1" collapsed="1"/>
    <col min="25" max="25" width="12.7109375" customWidth="1"/>
  </cols>
  <sheetData>
    <row r="1" spans="1:27" ht="25.5">
      <c r="A1" s="99" t="s">
        <v>297</v>
      </c>
      <c r="B1" s="549" t="s">
        <v>298</v>
      </c>
      <c r="C1" s="550"/>
      <c r="D1" s="550"/>
      <c r="E1" s="550"/>
      <c r="F1" s="550"/>
      <c r="G1" s="550"/>
      <c r="H1" s="550"/>
      <c r="I1" s="550"/>
      <c r="J1" s="550"/>
      <c r="K1" s="550"/>
      <c r="L1" s="550"/>
      <c r="M1" s="550"/>
      <c r="N1" s="550"/>
      <c r="O1" s="550"/>
      <c r="P1" s="550"/>
      <c r="Q1" s="550"/>
      <c r="R1" s="550"/>
      <c r="S1" s="550"/>
      <c r="T1" s="550"/>
      <c r="U1" s="550"/>
      <c r="V1" s="550"/>
      <c r="W1" s="550"/>
      <c r="X1" s="550"/>
    </row>
    <row r="2" spans="1:27" ht="18.75">
      <c r="A2" s="554" t="s">
        <v>224</v>
      </c>
      <c r="B2" s="517"/>
      <c r="C2" s="517"/>
      <c r="D2" s="517"/>
      <c r="E2" s="517"/>
      <c r="F2" s="517"/>
      <c r="G2" s="517"/>
      <c r="H2" s="555"/>
      <c r="I2" s="4"/>
      <c r="J2" s="532"/>
      <c r="K2" s="532"/>
      <c r="L2" s="532"/>
      <c r="M2" s="532"/>
      <c r="N2" s="532"/>
      <c r="O2" s="532"/>
      <c r="P2" s="532"/>
      <c r="Q2" s="532"/>
      <c r="R2" s="532"/>
      <c r="S2" s="532"/>
      <c r="T2" s="532"/>
      <c r="U2" s="532"/>
      <c r="V2" s="532"/>
      <c r="W2" s="532"/>
      <c r="X2" s="533"/>
    </row>
    <row r="3" spans="1:27" ht="30" customHeight="1">
      <c r="A3" s="126"/>
      <c r="B3" s="112"/>
      <c r="C3" s="556" t="s">
        <v>299</v>
      </c>
      <c r="D3" s="557"/>
      <c r="E3" s="558" t="s">
        <v>300</v>
      </c>
      <c r="F3" s="559"/>
      <c r="G3" s="560" t="s">
        <v>227</v>
      </c>
      <c r="H3" s="561"/>
      <c r="J3" s="538" t="s">
        <v>228</v>
      </c>
      <c r="K3" s="539"/>
      <c r="L3" s="48"/>
      <c r="M3" s="553" t="s">
        <v>10</v>
      </c>
      <c r="N3" s="528"/>
      <c r="O3" s="528"/>
      <c r="P3" s="528"/>
      <c r="Q3" s="528"/>
      <c r="R3" s="528"/>
      <c r="S3" s="528"/>
      <c r="T3" s="528"/>
      <c r="U3" s="528"/>
      <c r="V3" s="528"/>
      <c r="W3" s="529"/>
      <c r="X3" s="190"/>
    </row>
    <row r="4" spans="1:27" ht="14.25" customHeight="1">
      <c r="A4" s="128" t="s">
        <v>229</v>
      </c>
      <c r="B4" s="113" t="s">
        <v>230</v>
      </c>
      <c r="C4" s="110">
        <v>0</v>
      </c>
      <c r="D4" s="8"/>
      <c r="E4" s="115">
        <f>K4</f>
        <v>38063.1</v>
      </c>
      <c r="F4" s="8"/>
      <c r="G4" s="58">
        <f>E4+C4</f>
        <v>38063.1</v>
      </c>
      <c r="H4" s="244">
        <f>D4+F4</f>
        <v>0</v>
      </c>
      <c r="J4" s="209" t="s">
        <v>28</v>
      </c>
      <c r="K4" s="210">
        <v>38063.1</v>
      </c>
      <c r="L4" s="48"/>
      <c r="M4" s="21" t="s">
        <v>301</v>
      </c>
      <c r="N4" s="21"/>
      <c r="O4" s="21"/>
      <c r="P4" s="22"/>
      <c r="Q4" s="22"/>
      <c r="R4" s="22"/>
      <c r="S4" s="22"/>
      <c r="T4" s="22"/>
      <c r="U4" s="22"/>
      <c r="V4" s="22"/>
      <c r="W4" s="22"/>
      <c r="X4" s="551" t="s">
        <v>233</v>
      </c>
    </row>
    <row r="5" spans="1:27">
      <c r="A5" s="128" t="s">
        <v>234</v>
      </c>
      <c r="B5" s="113" t="s">
        <v>235</v>
      </c>
      <c r="C5" s="78">
        <f>C6+C7+C8+C9+C10+C11+C13+C14+C17+C15+C12+C16</f>
        <v>5119.4554942000605</v>
      </c>
      <c r="D5" s="9"/>
      <c r="E5" s="424">
        <f>E6+E7+E8+E9+E10+E11+E13+E14+E17+E15+E12</f>
        <v>22993.087287219263</v>
      </c>
      <c r="F5" s="9"/>
      <c r="G5" s="80">
        <f>G6+G7+G8+G9+G10+G11+G13+G14+G17+G15+G12+G16</f>
        <v>28112.542781419321</v>
      </c>
      <c r="H5" s="245"/>
      <c r="J5" s="258" t="s">
        <v>32</v>
      </c>
      <c r="K5" s="259"/>
      <c r="M5" s="37">
        <v>1</v>
      </c>
      <c r="N5" s="37">
        <v>2</v>
      </c>
      <c r="O5" s="37">
        <v>3</v>
      </c>
      <c r="P5" s="37">
        <v>4</v>
      </c>
      <c r="Q5" s="37">
        <v>5</v>
      </c>
      <c r="R5" s="37">
        <v>6</v>
      </c>
      <c r="S5" s="24">
        <v>7</v>
      </c>
      <c r="T5" s="24">
        <v>8</v>
      </c>
      <c r="U5" s="24">
        <v>9</v>
      </c>
      <c r="V5" s="24">
        <v>10</v>
      </c>
      <c r="W5" s="24">
        <v>11</v>
      </c>
      <c r="X5" s="552"/>
    </row>
    <row r="6" spans="1:27">
      <c r="A6" s="129" t="s">
        <v>302</v>
      </c>
      <c r="B6" s="275" t="s">
        <v>237</v>
      </c>
      <c r="C6" s="52">
        <f>154.04+C38/D39+8.9+16.72+17.61+177</f>
        <v>2845.91533416006</v>
      </c>
      <c r="D6" s="67">
        <f>C6+C7+C8</f>
        <v>2845.91533416006</v>
      </c>
      <c r="E6" s="411">
        <f>2080+(C39+C40)/D39</f>
        <v>2478.9228929536293</v>
      </c>
      <c r="F6" s="10">
        <f>E6+E7+E8</f>
        <v>16584.305334160061</v>
      </c>
      <c r="G6" s="6">
        <f>C6+E6</f>
        <v>5324.8382271136888</v>
      </c>
      <c r="H6" s="246">
        <f>G6+G7+G8</f>
        <v>19430.220668320122</v>
      </c>
      <c r="J6" s="211" t="s">
        <v>238</v>
      </c>
      <c r="K6" s="212"/>
      <c r="M6" s="26"/>
      <c r="N6" s="26"/>
      <c r="O6" s="26"/>
      <c r="P6" s="26"/>
      <c r="Q6" s="26"/>
      <c r="R6" s="26"/>
      <c r="S6" s="27"/>
      <c r="T6" s="27"/>
      <c r="U6" s="27"/>
      <c r="V6" s="27"/>
      <c r="W6" s="27"/>
      <c r="X6" s="130"/>
    </row>
    <row r="7" spans="1:27">
      <c r="A7" s="131" t="s">
        <v>303</v>
      </c>
      <c r="B7" s="276" t="s">
        <v>240</v>
      </c>
      <c r="C7" s="13"/>
      <c r="D7" s="10"/>
      <c r="E7" s="412"/>
      <c r="F7" s="10"/>
      <c r="G7" s="6">
        <f t="shared" ref="G7:G17" si="0">C7+E7</f>
        <v>0</v>
      </c>
      <c r="H7" s="246"/>
      <c r="J7" s="213" t="s">
        <v>241</v>
      </c>
      <c r="K7" s="214" t="s">
        <v>242</v>
      </c>
      <c r="M7" s="29">
        <v>27.84</v>
      </c>
      <c r="N7" s="30"/>
      <c r="O7" s="30"/>
      <c r="P7" s="30"/>
      <c r="Q7" s="30"/>
      <c r="R7" s="30"/>
      <c r="S7" s="31"/>
      <c r="T7" s="31"/>
      <c r="U7" s="31"/>
      <c r="V7" s="31"/>
      <c r="W7" s="31"/>
      <c r="X7" s="300">
        <f t="shared" ref="X7" si="1">M7+N7+O7+P7+Q7+R7+W7+S7+T7+U7+V7</f>
        <v>27.84</v>
      </c>
      <c r="Y7" s="49">
        <f>H9/X7</f>
        <v>197.0119293498276</v>
      </c>
      <c r="AA7" s="1"/>
    </row>
    <row r="8" spans="1:27">
      <c r="A8" s="132" t="s">
        <v>243</v>
      </c>
      <c r="B8" s="114" t="s">
        <v>244</v>
      </c>
      <c r="C8" s="195"/>
      <c r="D8" s="11"/>
      <c r="E8" s="426">
        <f>5400+(C42+C41)/D39+9788.48-3785.82+630</f>
        <v>14105.382441206431</v>
      </c>
      <c r="F8" s="11"/>
      <c r="G8" s="6">
        <f>C8+E8</f>
        <v>14105.382441206431</v>
      </c>
      <c r="H8" s="247"/>
      <c r="J8" s="215" t="s">
        <v>245</v>
      </c>
      <c r="K8" s="216">
        <v>13</v>
      </c>
      <c r="X8" s="133"/>
      <c r="AA8" s="1"/>
    </row>
    <row r="9" spans="1:27">
      <c r="A9" s="129" t="s">
        <v>246</v>
      </c>
      <c r="B9" s="275" t="s">
        <v>247</v>
      </c>
      <c r="C9" s="159">
        <f>995.57-C13</f>
        <v>595.57000000000005</v>
      </c>
      <c r="D9" s="63">
        <f>C9+C10+C11+C13+C12</f>
        <v>1194.9501600399999</v>
      </c>
      <c r="E9" s="427">
        <f>1127.24*2</f>
        <v>2254.48</v>
      </c>
      <c r="F9" s="3">
        <f>E9+E10+E11+E13+E12</f>
        <v>4289.8619530592005</v>
      </c>
      <c r="G9" s="16">
        <f>C9+E9</f>
        <v>2850.05</v>
      </c>
      <c r="H9" s="248">
        <f>G9+G10+G11+G13+G12</f>
        <v>5484.8121130992004</v>
      </c>
      <c r="J9" s="217" t="s">
        <v>248</v>
      </c>
      <c r="K9" s="218">
        <v>12</v>
      </c>
      <c r="X9" s="133"/>
    </row>
    <row r="10" spans="1:27">
      <c r="A10" s="131" t="s">
        <v>249</v>
      </c>
      <c r="B10" s="276" t="s">
        <v>250</v>
      </c>
      <c r="C10" s="52">
        <f>C9*0.2359</f>
        <v>140.49496300000001</v>
      </c>
      <c r="D10" s="10"/>
      <c r="E10" s="411">
        <f>E9*0.2359</f>
        <v>531.83183199999996</v>
      </c>
      <c r="F10" s="41"/>
      <c r="G10" s="17">
        <f t="shared" si="0"/>
        <v>672.32679499999995</v>
      </c>
      <c r="H10" s="247"/>
      <c r="X10" s="133"/>
    </row>
    <row r="11" spans="1:27">
      <c r="A11" s="131" t="s">
        <v>251</v>
      </c>
      <c r="B11" s="276" t="s">
        <v>252</v>
      </c>
      <c r="C11" s="52">
        <f>(C9+C10)*0.08</f>
        <v>58.885197040000001</v>
      </c>
      <c r="D11" s="10"/>
      <c r="E11" s="411">
        <f>(E9+E10)*0.08</f>
        <v>222.90494655999998</v>
      </c>
      <c r="F11" s="41"/>
      <c r="G11" s="17">
        <f t="shared" si="0"/>
        <v>281.79014359999996</v>
      </c>
      <c r="H11" s="247"/>
      <c r="J11" s="544" t="s">
        <v>253</v>
      </c>
      <c r="K11" s="545"/>
      <c r="X11" s="133"/>
    </row>
    <row r="12" spans="1:27">
      <c r="A12" s="134" t="s">
        <v>254</v>
      </c>
      <c r="B12" s="277" t="s">
        <v>14</v>
      </c>
      <c r="C12" s="53">
        <f>(C4)*0.07</f>
        <v>0</v>
      </c>
      <c r="D12" s="56"/>
      <c r="E12" s="411">
        <f>(E13+E11+E10+E9)*0.07</f>
        <v>280.64517449920004</v>
      </c>
      <c r="F12" s="50"/>
      <c r="G12" s="17">
        <f t="shared" si="0"/>
        <v>280.64517449920004</v>
      </c>
      <c r="H12" s="247"/>
      <c r="J12" s="219" t="s">
        <v>255</v>
      </c>
      <c r="K12" s="220"/>
      <c r="X12" s="133"/>
    </row>
    <row r="13" spans="1:27">
      <c r="A13" s="131" t="s">
        <v>304</v>
      </c>
      <c r="B13" s="276" t="s">
        <v>257</v>
      </c>
      <c r="C13" s="55">
        <v>400</v>
      </c>
      <c r="D13" s="57"/>
      <c r="E13" s="415">
        <v>1000</v>
      </c>
      <c r="F13" s="51"/>
      <c r="G13" s="18">
        <f t="shared" si="0"/>
        <v>1400</v>
      </c>
      <c r="H13" s="249"/>
      <c r="J13" s="221" t="s">
        <v>258</v>
      </c>
      <c r="K13" s="222">
        <f>G6+G7</f>
        <v>5324.8382271136888</v>
      </c>
      <c r="X13" s="133"/>
    </row>
    <row r="14" spans="1:27">
      <c r="A14" s="135" t="s">
        <v>305</v>
      </c>
      <c r="B14" s="275" t="s">
        <v>260</v>
      </c>
      <c r="C14" s="160">
        <f>203.81+35.65</f>
        <v>239.46</v>
      </c>
      <c r="D14" s="67">
        <f>C14+C17+C15+C16</f>
        <v>1078.5900000000001</v>
      </c>
      <c r="E14" s="412"/>
      <c r="F14" s="10">
        <f>E14+E17+E15</f>
        <v>2118.92</v>
      </c>
      <c r="G14" s="6">
        <f t="shared" si="0"/>
        <v>239.46</v>
      </c>
      <c r="H14" s="247">
        <f>G14+G17+G15+G16</f>
        <v>3197.51</v>
      </c>
      <c r="X14" s="133"/>
    </row>
    <row r="15" spans="1:27">
      <c r="A15" s="136" t="s">
        <v>306</v>
      </c>
      <c r="B15" s="276" t="s">
        <v>262</v>
      </c>
      <c r="C15" s="160">
        <v>627.38</v>
      </c>
      <c r="D15" s="67"/>
      <c r="E15" s="412"/>
      <c r="F15" s="10"/>
      <c r="G15" s="6">
        <f t="shared" si="0"/>
        <v>627.38</v>
      </c>
      <c r="H15" s="247"/>
      <c r="J15" s="546" t="s">
        <v>263</v>
      </c>
      <c r="K15" s="547"/>
      <c r="X15" s="133"/>
    </row>
    <row r="16" spans="1:27">
      <c r="A16" s="136" t="s">
        <v>264</v>
      </c>
      <c r="B16" s="276" t="s">
        <v>265</v>
      </c>
      <c r="C16" s="52">
        <f>6+29.65+50+29+56.91+12.09+28.1</f>
        <v>211.75</v>
      </c>
      <c r="D16" s="67"/>
      <c r="E16" s="412"/>
      <c r="F16" s="10"/>
      <c r="G16" s="6">
        <f t="shared" si="0"/>
        <v>211.75</v>
      </c>
      <c r="H16" s="247"/>
      <c r="J16" s="219" t="s">
        <v>255</v>
      </c>
      <c r="K16" s="220"/>
      <c r="X16" s="133"/>
    </row>
    <row r="17" spans="1:24">
      <c r="A17" s="131" t="s">
        <v>266</v>
      </c>
      <c r="B17" s="276" t="s">
        <v>267</v>
      </c>
      <c r="C17" s="13"/>
      <c r="D17" s="10"/>
      <c r="E17" s="412">
        <f>1499.09+494.83+125</f>
        <v>2118.92</v>
      </c>
      <c r="F17" s="10"/>
      <c r="G17" s="6">
        <f t="shared" si="0"/>
        <v>2118.92</v>
      </c>
      <c r="H17" s="247"/>
      <c r="J17" s="223" t="s">
        <v>258</v>
      </c>
      <c r="K17" s="224">
        <f>G9+G10+G11+G13</f>
        <v>5204.1669386000003</v>
      </c>
      <c r="X17" s="133"/>
    </row>
    <row r="18" spans="1:24">
      <c r="A18" s="250" t="s">
        <v>268</v>
      </c>
      <c r="B18" s="278" t="s">
        <v>269</v>
      </c>
      <c r="C18" s="205">
        <f>C4-C5</f>
        <v>-5119.4554942000605</v>
      </c>
      <c r="D18" s="206" t="e">
        <f>C18/C4</f>
        <v>#DIV/0!</v>
      </c>
      <c r="E18" s="425">
        <f>E4-E5</f>
        <v>15070.012712780735</v>
      </c>
      <c r="F18" s="206">
        <f>E18/E4</f>
        <v>0.39592184327552765</v>
      </c>
      <c r="G18" s="208">
        <f>G4-G5</f>
        <v>9950.5572185806777</v>
      </c>
      <c r="H18" s="251">
        <f>G18/G4</f>
        <v>0.26142266968745786</v>
      </c>
      <c r="J18" s="235" t="s">
        <v>46</v>
      </c>
      <c r="K18" s="298" t="e">
        <f>K16/X6</f>
        <v>#DIV/0!</v>
      </c>
      <c r="X18" s="133"/>
    </row>
    <row r="19" spans="1:24">
      <c r="A19" s="280" t="s">
        <v>270</v>
      </c>
      <c r="B19" s="199"/>
      <c r="C19" s="200"/>
      <c r="D19" s="201"/>
      <c r="E19" s="199"/>
      <c r="F19" s="199"/>
      <c r="G19" s="203"/>
      <c r="H19" s="253">
        <f>G19/K4</f>
        <v>0</v>
      </c>
      <c r="J19" s="237" t="s">
        <v>55</v>
      </c>
      <c r="K19" s="314">
        <f>K17/X7</f>
        <v>186.93128371408048</v>
      </c>
      <c r="X19" s="133"/>
    </row>
    <row r="20" spans="1:24" ht="30" customHeight="1">
      <c r="A20" s="137"/>
      <c r="B20" s="45"/>
      <c r="C20" s="45"/>
      <c r="D20" s="45"/>
      <c r="E20" s="45"/>
      <c r="F20" s="45"/>
      <c r="H20" s="133"/>
      <c r="M20" s="553" t="s">
        <v>272</v>
      </c>
      <c r="N20" s="528"/>
      <c r="O20" s="528"/>
      <c r="P20" s="528"/>
      <c r="Q20" s="528"/>
      <c r="R20" s="528"/>
      <c r="S20" s="528"/>
      <c r="T20" s="528"/>
      <c r="U20" s="528"/>
      <c r="V20" s="528"/>
      <c r="W20" s="529"/>
      <c r="X20" s="190"/>
    </row>
    <row r="21" spans="1:24" ht="15.75" customHeight="1">
      <c r="A21" s="254" t="s">
        <v>279</v>
      </c>
      <c r="B21" s="270" t="s">
        <v>280</v>
      </c>
      <c r="C21" s="299" t="s">
        <v>281</v>
      </c>
      <c r="D21" s="46"/>
      <c r="E21" s="46"/>
      <c r="F21" s="46"/>
      <c r="H21" s="133"/>
      <c r="J21" s="233" t="s">
        <v>282</v>
      </c>
      <c r="K21" s="234"/>
      <c r="M21" s="21" t="s">
        <v>301</v>
      </c>
      <c r="N21" s="21"/>
      <c r="O21" s="21"/>
      <c r="P21" s="22"/>
      <c r="Q21" s="22"/>
      <c r="R21" s="22"/>
      <c r="S21" s="21"/>
      <c r="T21" s="21"/>
      <c r="U21" s="21"/>
      <c r="V21" s="21"/>
      <c r="W21" s="21"/>
      <c r="X21" s="542" t="s">
        <v>233</v>
      </c>
    </row>
    <row r="22" spans="1:24">
      <c r="A22" s="138" t="s">
        <v>283</v>
      </c>
      <c r="B22" s="271">
        <f>H6/G5</f>
        <v>0.69115842061651978</v>
      </c>
      <c r="C22" s="268" t="s">
        <v>307</v>
      </c>
      <c r="D22" s="47"/>
      <c r="E22" s="47"/>
      <c r="F22" s="47"/>
      <c r="H22" s="133"/>
      <c r="J22" s="227" t="s">
        <v>255</v>
      </c>
      <c r="K22" s="228" t="e">
        <f>X6/K6</f>
        <v>#DIV/0!</v>
      </c>
      <c r="M22" s="32">
        <v>1</v>
      </c>
      <c r="N22" s="32">
        <v>2</v>
      </c>
      <c r="O22" s="32">
        <v>3</v>
      </c>
      <c r="P22" s="32">
        <v>4</v>
      </c>
      <c r="Q22" s="32">
        <v>5</v>
      </c>
      <c r="R22" s="32">
        <v>6</v>
      </c>
      <c r="S22" s="32">
        <v>7</v>
      </c>
      <c r="T22" s="32">
        <v>8</v>
      </c>
      <c r="U22" s="32">
        <v>9</v>
      </c>
      <c r="V22" s="32">
        <v>10</v>
      </c>
      <c r="W22" s="32">
        <v>11</v>
      </c>
      <c r="X22" s="543"/>
    </row>
    <row r="23" spans="1:24">
      <c r="A23" s="139" t="s">
        <v>263</v>
      </c>
      <c r="B23" s="271">
        <f>H9/G5</f>
        <v>0.19510195700704552</v>
      </c>
      <c r="C23" s="268" t="s">
        <v>307</v>
      </c>
      <c r="D23" s="47"/>
      <c r="E23" s="47"/>
      <c r="F23" s="47"/>
      <c r="H23" s="133"/>
      <c r="J23" s="229" t="s">
        <v>258</v>
      </c>
      <c r="K23" s="230" t="e">
        <f>X7/K6</f>
        <v>#DIV/0!</v>
      </c>
      <c r="M23" s="34">
        <f>X23/2</f>
        <v>0</v>
      </c>
      <c r="N23" s="34">
        <f>M23</f>
        <v>0</v>
      </c>
      <c r="O23" s="34"/>
      <c r="P23" s="34"/>
      <c r="Q23" s="34"/>
      <c r="R23" s="34"/>
      <c r="S23" s="34"/>
      <c r="T23" s="34"/>
      <c r="U23" s="34"/>
      <c r="V23" s="34"/>
      <c r="W23" s="34"/>
      <c r="X23" s="192">
        <f>K27</f>
        <v>0</v>
      </c>
    </row>
    <row r="24" spans="1:24">
      <c r="A24" s="140" t="s">
        <v>284</v>
      </c>
      <c r="B24" s="272">
        <f>H14/G5</f>
        <v>0.11373962237643476</v>
      </c>
      <c r="C24" s="269" t="s">
        <v>307</v>
      </c>
      <c r="D24" s="47"/>
      <c r="E24" s="47"/>
      <c r="F24" s="47"/>
      <c r="H24" s="133"/>
      <c r="J24" s="225" t="s">
        <v>285</v>
      </c>
      <c r="K24" s="226" t="e">
        <f>K23*K19</f>
        <v>#DIV/0!</v>
      </c>
      <c r="M24" s="35">
        <f>G14+G15</f>
        <v>866.84</v>
      </c>
      <c r="N24" s="36"/>
      <c r="O24" s="36"/>
      <c r="P24" s="36"/>
      <c r="Q24" s="36"/>
      <c r="R24" s="36"/>
      <c r="S24" s="36"/>
      <c r="T24" s="36"/>
      <c r="U24" s="36"/>
      <c r="V24" s="36"/>
      <c r="W24" s="36"/>
      <c r="X24" s="257">
        <f t="shared" ref="X24" si="2">M24+N24+O24+P24+Q24+R24+W24+S24+T24+U24+V24</f>
        <v>866.84</v>
      </c>
    </row>
    <row r="25" spans="1:24">
      <c r="A25" s="141"/>
      <c r="H25" s="133"/>
      <c r="X25" s="133"/>
    </row>
    <row r="26" spans="1:24">
      <c r="A26" s="141"/>
      <c r="H26" s="133"/>
      <c r="J26" s="231" t="s">
        <v>272</v>
      </c>
      <c r="K26" s="232"/>
      <c r="X26" s="133"/>
    </row>
    <row r="27" spans="1:24" ht="33" customHeight="1">
      <c r="A27" s="141"/>
      <c r="H27" s="133"/>
      <c r="J27" s="219" t="s">
        <v>255</v>
      </c>
      <c r="K27" s="220"/>
      <c r="X27" s="133"/>
    </row>
    <row r="28" spans="1:24">
      <c r="A28" s="141"/>
      <c r="H28" s="133"/>
      <c r="J28" s="223" t="s">
        <v>258</v>
      </c>
      <c r="K28" s="224">
        <f>G14+G15</f>
        <v>866.84</v>
      </c>
      <c r="X28" s="133"/>
    </row>
    <row r="29" spans="1:24">
      <c r="A29" s="141"/>
      <c r="H29" s="133"/>
      <c r="J29" s="225" t="s">
        <v>286</v>
      </c>
      <c r="K29" s="226">
        <f>K28/X7</f>
        <v>31.136494252873565</v>
      </c>
      <c r="X29" s="133"/>
    </row>
    <row r="30" spans="1:24">
      <c r="A30" s="141"/>
      <c r="H30" s="133"/>
      <c r="X30" s="133"/>
    </row>
    <row r="31" spans="1:24">
      <c r="A31" s="141"/>
      <c r="H31" s="133"/>
      <c r="J31" s="101" t="s">
        <v>287</v>
      </c>
      <c r="K31" s="59"/>
      <c r="X31" s="133"/>
    </row>
    <row r="32" spans="1:24" ht="27.75">
      <c r="A32" s="141"/>
      <c r="H32" s="133"/>
      <c r="J32" s="7" t="s">
        <v>288</v>
      </c>
      <c r="K32" s="59"/>
      <c r="X32" s="133"/>
    </row>
    <row r="33" spans="1:24">
      <c r="A33" s="141"/>
      <c r="H33" s="133"/>
      <c r="X33" s="133"/>
    </row>
    <row r="34" spans="1:24">
      <c r="A34" s="141"/>
      <c r="H34" s="133"/>
      <c r="J34" s="541" t="s">
        <v>289</v>
      </c>
      <c r="K34" s="541"/>
      <c r="X34" s="133"/>
    </row>
    <row r="35" spans="1:24">
      <c r="A35" s="141"/>
      <c r="H35" s="133"/>
      <c r="J35" s="548">
        <v>45719</v>
      </c>
      <c r="K35" s="548"/>
      <c r="X35" s="133"/>
    </row>
    <row r="36" spans="1:24">
      <c r="A36" s="142"/>
      <c r="B36" s="143"/>
      <c r="C36" s="143"/>
      <c r="D36" s="143"/>
      <c r="E36" s="143"/>
      <c r="F36" s="143"/>
      <c r="G36" s="143"/>
      <c r="H36" s="144"/>
      <c r="I36" s="143"/>
      <c r="J36" s="143"/>
      <c r="K36" s="143"/>
      <c r="L36" s="143"/>
      <c r="M36" s="143"/>
      <c r="N36" s="143"/>
      <c r="O36" s="143"/>
      <c r="P36" s="143"/>
      <c r="Q36" s="143"/>
      <c r="R36" s="143"/>
      <c r="S36" s="143"/>
      <c r="T36" s="143"/>
      <c r="U36" s="143"/>
      <c r="V36" s="143"/>
      <c r="W36" s="143"/>
      <c r="X36" s="144"/>
    </row>
    <row r="38" spans="1:24">
      <c r="C38" s="95">
        <f>C39+C40+C41+C42</f>
        <v>27903.64</v>
      </c>
      <c r="I38" s="1"/>
    </row>
    <row r="39" spans="1:24">
      <c r="A39" t="s">
        <v>308</v>
      </c>
      <c r="B39">
        <v>11922063</v>
      </c>
      <c r="C39">
        <v>3708</v>
      </c>
      <c r="D39" s="328">
        <v>11.2895</v>
      </c>
    </row>
    <row r="40" spans="1:24">
      <c r="A40" t="s">
        <v>130</v>
      </c>
      <c r="B40">
        <v>15960198</v>
      </c>
      <c r="C40">
        <v>795.64</v>
      </c>
    </row>
    <row r="41" spans="1:24">
      <c r="A41" t="s">
        <v>309</v>
      </c>
      <c r="B41">
        <v>5322</v>
      </c>
      <c r="C41">
        <v>20000</v>
      </c>
    </row>
    <row r="42" spans="1:24">
      <c r="A42" t="s">
        <v>310</v>
      </c>
      <c r="B42">
        <v>1272</v>
      </c>
      <c r="C42">
        <v>3400</v>
      </c>
    </row>
  </sheetData>
  <mergeCells count="15">
    <mergeCell ref="J35:K35"/>
    <mergeCell ref="J34:K34"/>
    <mergeCell ref="J15:K15"/>
    <mergeCell ref="B1:X1"/>
    <mergeCell ref="X4:X5"/>
    <mergeCell ref="M20:W20"/>
    <mergeCell ref="A2:H2"/>
    <mergeCell ref="J2:X2"/>
    <mergeCell ref="C3:D3"/>
    <mergeCell ref="E3:F3"/>
    <mergeCell ref="G3:H3"/>
    <mergeCell ref="J3:K3"/>
    <mergeCell ref="M3:W3"/>
    <mergeCell ref="J11:K11"/>
    <mergeCell ref="X21:X22"/>
  </mergeCells>
  <conditionalFormatting sqref="K13">
    <cfRule type="cellIs" dxfId="26" priority="6" operator="greaterThan">
      <formula>$K$12</formula>
    </cfRule>
  </conditionalFormatting>
  <conditionalFormatting sqref="K17">
    <cfRule type="cellIs" dxfId="25" priority="5" operator="greaterThan">
      <formula>$K$16</formula>
    </cfRule>
  </conditionalFormatting>
  <conditionalFormatting sqref="K19">
    <cfRule type="cellIs" dxfId="24" priority="4" operator="greaterThan">
      <formula>$K$18</formula>
    </cfRule>
  </conditionalFormatting>
  <conditionalFormatting sqref="K23">
    <cfRule type="cellIs" dxfId="23" priority="2" operator="greaterThan">
      <formula>$K$22</formula>
    </cfRule>
  </conditionalFormatting>
  <conditionalFormatting sqref="K28">
    <cfRule type="cellIs" dxfId="22" priority="1" operator="greaterThan">
      <formula>$K$27</formula>
    </cfRule>
  </conditionalFormatting>
  <conditionalFormatting sqref="X7">
    <cfRule type="cellIs" dxfId="21" priority="3" operator="greaterThan">
      <formula>$X$6</formula>
    </cfRule>
  </conditionalFormatting>
  <pageMargins left="0.7" right="0.7" top="0.75" bottom="0.75" header="0.3" footer="0.3"/>
  <pageSetup paperSize="9" orientation="landscape"/>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7DE7CF-36C0-4EC7-9077-9DDFD1BD8BDB}">
  <sheetPr>
    <tabColor rgb="FF92D050"/>
    <pageSetUpPr fitToPage="1"/>
  </sheetPr>
  <dimension ref="A1:AA42"/>
  <sheetViews>
    <sheetView workbookViewId="0">
      <selection activeCell="AB27" sqref="AB27"/>
    </sheetView>
  </sheetViews>
  <sheetFormatPr defaultColWidth="9.140625" defaultRowHeight="15" outlineLevelCol="1"/>
  <cols>
    <col min="1" max="1" width="36.42578125" bestFit="1" customWidth="1"/>
    <col min="2" max="2" width="28.42578125" customWidth="1"/>
    <col min="3" max="3" width="13.42578125" customWidth="1"/>
    <col min="4" max="4" width="10.7109375" customWidth="1"/>
    <col min="5" max="5" width="10.7109375" hidden="1" customWidth="1" outlineLevel="1"/>
    <col min="6" max="6" width="10.140625" hidden="1" customWidth="1" outlineLevel="1"/>
    <col min="7" max="7" width="10.7109375" customWidth="1" collapsed="1"/>
    <col min="8" max="8" width="10.7109375" customWidth="1"/>
    <col min="9" max="9" width="3.28515625" customWidth="1"/>
    <col min="10" max="10" width="25.42578125" customWidth="1"/>
    <col min="11" max="11" width="18.140625" bestFit="1" customWidth="1"/>
    <col min="12" max="12" width="2.85546875" customWidth="1"/>
    <col min="13" max="14" width="10" bestFit="1" customWidth="1"/>
    <col min="15" max="15" width="10" hidden="1" customWidth="1" outlineLevel="1"/>
    <col min="16" max="16" width="10.7109375" hidden="1" customWidth="1" outlineLevel="1"/>
    <col min="17" max="22" width="12.7109375" hidden="1" customWidth="1" outlineLevel="1"/>
    <col min="23" max="23" width="2.5703125" hidden="1" customWidth="1" outlineLevel="1"/>
    <col min="24" max="24" width="12.7109375" customWidth="1" collapsed="1"/>
    <col min="25" max="25" width="12.7109375" customWidth="1"/>
    <col min="26" max="26" width="10.5703125" customWidth="1"/>
  </cols>
  <sheetData>
    <row r="1" spans="1:26" ht="25.5" customHeight="1">
      <c r="A1" s="125" t="s">
        <v>311</v>
      </c>
      <c r="B1" s="562" t="s">
        <v>312</v>
      </c>
      <c r="C1" s="562"/>
      <c r="D1" s="562"/>
      <c r="E1" s="562"/>
      <c r="F1" s="562"/>
      <c r="G1" s="562"/>
      <c r="H1" s="562"/>
      <c r="I1" s="562"/>
      <c r="J1" s="562"/>
      <c r="K1" s="562"/>
      <c r="L1" s="562"/>
      <c r="M1" s="562"/>
      <c r="N1" s="562"/>
      <c r="O1" s="562"/>
      <c r="P1" s="562"/>
      <c r="Q1" s="562"/>
      <c r="R1" s="562"/>
      <c r="S1" s="562"/>
      <c r="T1" s="562"/>
      <c r="U1" s="562"/>
      <c r="V1" s="562"/>
      <c r="W1" s="562"/>
      <c r="X1" s="563"/>
    </row>
    <row r="2" spans="1:26" ht="18.75">
      <c r="A2" s="554" t="s">
        <v>224</v>
      </c>
      <c r="B2" s="517"/>
      <c r="C2" s="517"/>
      <c r="D2" s="517"/>
      <c r="E2" s="517"/>
      <c r="F2" s="517"/>
      <c r="G2" s="517"/>
      <c r="H2" s="555"/>
      <c r="I2" s="4"/>
      <c r="J2" s="532"/>
      <c r="K2" s="532"/>
      <c r="L2" s="532"/>
      <c r="M2" s="532"/>
      <c r="N2" s="532"/>
      <c r="O2" s="532"/>
      <c r="P2" s="532"/>
      <c r="Q2" s="532"/>
      <c r="R2" s="532"/>
      <c r="S2" s="532"/>
      <c r="T2" s="532"/>
      <c r="U2" s="532"/>
      <c r="V2" s="532"/>
      <c r="W2" s="532"/>
      <c r="X2" s="533"/>
    </row>
    <row r="3" spans="1:26">
      <c r="A3" s="126"/>
      <c r="B3" s="112"/>
      <c r="C3" s="556" t="s">
        <v>225</v>
      </c>
      <c r="D3" s="559"/>
      <c r="E3" s="556"/>
      <c r="F3" s="559"/>
      <c r="G3" s="560" t="s">
        <v>227</v>
      </c>
      <c r="H3" s="561"/>
      <c r="J3" s="538" t="s">
        <v>228</v>
      </c>
      <c r="K3" s="539"/>
      <c r="L3" s="48"/>
      <c r="M3" s="564" t="s">
        <v>10</v>
      </c>
      <c r="N3" s="565"/>
      <c r="O3" s="565"/>
      <c r="P3" s="565"/>
      <c r="Q3" s="565"/>
      <c r="R3" s="565"/>
      <c r="S3" s="565"/>
      <c r="T3" s="565"/>
      <c r="U3" s="565"/>
      <c r="V3" s="565"/>
      <c r="W3" s="566"/>
      <c r="X3" s="127"/>
    </row>
    <row r="4" spans="1:26" ht="15.75" customHeight="1">
      <c r="A4" s="128" t="s">
        <v>229</v>
      </c>
      <c r="B4" s="2" t="s">
        <v>230</v>
      </c>
      <c r="C4" s="40">
        <f>K4</f>
        <v>60000</v>
      </c>
      <c r="D4">
        <f>H4</f>
        <v>435.2</v>
      </c>
      <c r="E4" s="40"/>
      <c r="G4" s="64">
        <f>C4+E4+K5</f>
        <v>60000</v>
      </c>
      <c r="H4" s="336">
        <f>X7</f>
        <v>435.2</v>
      </c>
      <c r="J4" s="209" t="s">
        <v>28</v>
      </c>
      <c r="K4" s="210">
        <v>60000</v>
      </c>
      <c r="L4" s="48"/>
      <c r="M4" s="75" t="s">
        <v>313</v>
      </c>
      <c r="N4" s="21" t="s">
        <v>314</v>
      </c>
      <c r="O4" s="21"/>
      <c r="P4" s="22"/>
      <c r="Q4" s="22"/>
      <c r="R4" s="22"/>
      <c r="S4" s="22"/>
      <c r="T4" s="22"/>
      <c r="U4" s="22"/>
      <c r="V4" s="22"/>
      <c r="W4" s="116"/>
      <c r="X4" s="551" t="s">
        <v>233</v>
      </c>
      <c r="Z4" s="1"/>
    </row>
    <row r="5" spans="1:26">
      <c r="A5" s="128" t="s">
        <v>234</v>
      </c>
      <c r="B5" s="2" t="s">
        <v>235</v>
      </c>
      <c r="C5" s="78">
        <f>C6+C7+C8+C9+C10+C11+C14+C15+C18+C16+C12</f>
        <v>42232.865765979193</v>
      </c>
      <c r="D5" s="2"/>
      <c r="E5" s="188">
        <f>E6+E7+E8+E9+E10+E11+E14+E15+E18+E16+E12</f>
        <v>0</v>
      </c>
      <c r="F5" s="2"/>
      <c r="G5" s="65">
        <f>G6+G7+G8+G9+G10+G11+G14+G15+G18+G16+G12</f>
        <v>42232.865765979193</v>
      </c>
      <c r="H5" s="245"/>
      <c r="J5" s="258" t="s">
        <v>32</v>
      </c>
      <c r="K5" s="259"/>
      <c r="M5" s="76">
        <v>1</v>
      </c>
      <c r="N5" s="37">
        <v>2</v>
      </c>
      <c r="O5" s="37">
        <v>3</v>
      </c>
      <c r="P5" s="37">
        <v>4</v>
      </c>
      <c r="Q5" s="37">
        <v>5</v>
      </c>
      <c r="R5" s="37">
        <v>6</v>
      </c>
      <c r="S5" s="24">
        <v>7</v>
      </c>
      <c r="T5" s="24">
        <v>8</v>
      </c>
      <c r="U5" s="24">
        <v>9</v>
      </c>
      <c r="V5" s="24">
        <v>10</v>
      </c>
      <c r="W5" s="124">
        <v>11</v>
      </c>
      <c r="X5" s="552"/>
    </row>
    <row r="6" spans="1:26">
      <c r="A6" s="129" t="s">
        <v>302</v>
      </c>
      <c r="B6" s="38" t="s">
        <v>237</v>
      </c>
      <c r="C6" s="15">
        <f>B39+619.74+49.2+19.56+45+36.8+104.98+39.75+27.9+70.85+39.15+21.04+7.99+143.35+134.14+48.1+490+4.45+23.3+124.52+68.94+1.95+16.8+159+21+20.85+111+15.95+5.49+143.35+358.38+1964.51+159.16</f>
        <v>5096.1999999999989</v>
      </c>
      <c r="D6" s="10">
        <f>C6+C7+C8</f>
        <v>22749.64</v>
      </c>
      <c r="E6" s="10"/>
      <c r="F6" s="10">
        <f>E6+E7+E8</f>
        <v>0</v>
      </c>
      <c r="G6" s="6">
        <f>C6+E6</f>
        <v>5096.1999999999989</v>
      </c>
      <c r="H6" s="246">
        <f>G6+G7+G8</f>
        <v>22749.64</v>
      </c>
      <c r="J6" s="211" t="s">
        <v>238</v>
      </c>
      <c r="K6" s="212">
        <f>47.8+6.72</f>
        <v>54.519999999999996</v>
      </c>
      <c r="M6" s="26">
        <f>X6/2</f>
        <v>201</v>
      </c>
      <c r="N6" s="26">
        <f>M6</f>
        <v>201</v>
      </c>
      <c r="O6" s="26"/>
      <c r="P6" s="26"/>
      <c r="Q6" s="26"/>
      <c r="R6" s="26"/>
      <c r="S6" s="27"/>
      <c r="T6" s="27"/>
      <c r="U6" s="27"/>
      <c r="V6" s="27"/>
      <c r="W6" s="26"/>
      <c r="X6" s="130">
        <v>402</v>
      </c>
    </row>
    <row r="7" spans="1:26">
      <c r="A7" s="131" t="s">
        <v>303</v>
      </c>
      <c r="B7" s="42" t="s">
        <v>240</v>
      </c>
      <c r="C7" s="53">
        <v>650</v>
      </c>
      <c r="D7" s="10"/>
      <c r="E7" s="67"/>
      <c r="F7" s="10"/>
      <c r="G7" s="6">
        <f t="shared" ref="G7:G16" si="0">C7+E7</f>
        <v>650</v>
      </c>
      <c r="H7" s="246"/>
      <c r="J7" s="213" t="s">
        <v>241</v>
      </c>
      <c r="K7" s="214" t="s">
        <v>242</v>
      </c>
      <c r="M7" s="29">
        <v>223.47</v>
      </c>
      <c r="N7" s="30">
        <v>211.73</v>
      </c>
      <c r="O7" s="30"/>
      <c r="P7" s="313"/>
      <c r="Q7" s="30"/>
      <c r="R7" s="30"/>
      <c r="S7" s="31"/>
      <c r="T7" s="31"/>
      <c r="U7" s="31"/>
      <c r="V7" s="31"/>
      <c r="W7" s="30"/>
      <c r="X7" s="315">
        <f>M7+N7</f>
        <v>435.2</v>
      </c>
      <c r="Y7" s="49"/>
    </row>
    <row r="8" spans="1:26">
      <c r="A8" s="132" t="s">
        <v>243</v>
      </c>
      <c r="B8" s="39" t="s">
        <v>244</v>
      </c>
      <c r="C8" s="79">
        <f>939.39+2835+11564.4+835+829.65</f>
        <v>17003.439999999999</v>
      </c>
      <c r="D8" s="11"/>
      <c r="E8" s="11"/>
      <c r="F8" s="11"/>
      <c r="G8" s="6">
        <f t="shared" si="0"/>
        <v>17003.439999999999</v>
      </c>
      <c r="H8" s="247"/>
      <c r="J8" s="215" t="s">
        <v>245</v>
      </c>
      <c r="K8" s="216">
        <v>13</v>
      </c>
      <c r="X8" s="133"/>
    </row>
    <row r="9" spans="1:26">
      <c r="A9" s="129" t="s">
        <v>246</v>
      </c>
      <c r="B9" s="38" t="s">
        <v>247</v>
      </c>
      <c r="C9" s="73">
        <f>(7422.57-C14)*1.48</f>
        <v>4991.4035999999996</v>
      </c>
      <c r="D9" s="63">
        <f>C9+C10+C11+C14+C12+C13</f>
        <v>17506.155765979198</v>
      </c>
      <c r="E9" s="63"/>
      <c r="F9" s="54">
        <f>E9+E10+E11+E14+E12</f>
        <v>0</v>
      </c>
      <c r="G9" s="16">
        <f t="shared" si="0"/>
        <v>4991.4035999999996</v>
      </c>
      <c r="H9" s="248">
        <f>G9+G10+G11+G14+G12+G13</f>
        <v>17506.155765979198</v>
      </c>
      <c r="J9" s="217" t="s">
        <v>248</v>
      </c>
      <c r="K9" s="218">
        <v>12</v>
      </c>
      <c r="X9" s="133"/>
    </row>
    <row r="10" spans="1:26">
      <c r="A10" s="131" t="s">
        <v>249</v>
      </c>
      <c r="B10" s="42" t="s">
        <v>250</v>
      </c>
      <c r="C10" s="52">
        <f>C9*0.2359</f>
        <v>1177.47210924</v>
      </c>
      <c r="D10" s="52"/>
      <c r="E10" s="52">
        <f t="shared" ref="E10" si="1">E9*0.2359</f>
        <v>0</v>
      </c>
      <c r="F10" s="41"/>
      <c r="G10" s="17">
        <f t="shared" si="0"/>
        <v>1177.47210924</v>
      </c>
      <c r="H10" s="247"/>
      <c r="X10" s="133"/>
    </row>
    <row r="11" spans="1:26">
      <c r="A11" s="131" t="s">
        <v>251</v>
      </c>
      <c r="B11" s="42" t="s">
        <v>252</v>
      </c>
      <c r="C11" s="52">
        <f>(C9+C10)*0.08</f>
        <v>493.51005673919997</v>
      </c>
      <c r="D11" s="10"/>
      <c r="E11" s="67">
        <f>(E9+E10)*0.08</f>
        <v>0</v>
      </c>
      <c r="F11" s="41"/>
      <c r="G11" s="17">
        <f t="shared" si="0"/>
        <v>493.51005673919997</v>
      </c>
      <c r="H11" s="247"/>
      <c r="J11" s="544" t="s">
        <v>253</v>
      </c>
      <c r="K11" s="545"/>
      <c r="X11" s="133"/>
    </row>
    <row r="12" spans="1:26">
      <c r="A12" s="134" t="s">
        <v>254</v>
      </c>
      <c r="B12" s="44" t="s">
        <v>14</v>
      </c>
      <c r="C12" s="53">
        <f>(C4)*0.07</f>
        <v>4200</v>
      </c>
      <c r="D12" s="56"/>
      <c r="E12" s="69">
        <f>(E4)*0.07</f>
        <v>0</v>
      </c>
      <c r="F12" s="50"/>
      <c r="G12" s="17">
        <f t="shared" si="0"/>
        <v>4200</v>
      </c>
      <c r="H12" s="247"/>
      <c r="J12" s="219" t="s">
        <v>255</v>
      </c>
      <c r="K12" s="220">
        <v>6874.93</v>
      </c>
      <c r="X12" s="133"/>
    </row>
    <row r="13" spans="1:26">
      <c r="A13" s="134" t="s">
        <v>315</v>
      </c>
      <c r="B13" s="44"/>
      <c r="C13" s="160">
        <v>2593.77</v>
      </c>
      <c r="D13" s="56"/>
      <c r="E13" s="69"/>
      <c r="F13" s="50"/>
      <c r="G13" s="17">
        <f t="shared" si="0"/>
        <v>2593.77</v>
      </c>
      <c r="H13" s="247"/>
      <c r="J13" s="221" t="s">
        <v>258</v>
      </c>
      <c r="K13" s="222">
        <f>G6+G7</f>
        <v>5746.1999999999989</v>
      </c>
      <c r="X13" s="133"/>
    </row>
    <row r="14" spans="1:26">
      <c r="A14" s="131" t="s">
        <v>304</v>
      </c>
      <c r="B14" s="42" t="s">
        <v>257</v>
      </c>
      <c r="C14" s="55">
        <f>4050</f>
        <v>4050</v>
      </c>
      <c r="D14" s="57"/>
      <c r="E14" s="72"/>
      <c r="F14" s="51"/>
      <c r="G14" s="18">
        <f t="shared" si="0"/>
        <v>4050</v>
      </c>
      <c r="H14" s="249"/>
      <c r="X14" s="133"/>
    </row>
    <row r="15" spans="1:26">
      <c r="A15" s="135" t="s">
        <v>305</v>
      </c>
      <c r="B15" s="38" t="s">
        <v>260</v>
      </c>
      <c r="C15" s="52">
        <f>2431.82+103.02</f>
        <v>2534.84</v>
      </c>
      <c r="D15" s="67">
        <f>C15+C18+C16</f>
        <v>4570.84</v>
      </c>
      <c r="E15" s="10"/>
      <c r="F15" s="10">
        <f>E15+E18+E16</f>
        <v>0</v>
      </c>
      <c r="G15" s="6">
        <f t="shared" si="0"/>
        <v>2534.84</v>
      </c>
      <c r="H15" s="247">
        <f>G15+G18+G16</f>
        <v>4570.84</v>
      </c>
      <c r="X15" s="133"/>
    </row>
    <row r="16" spans="1:26" ht="26.25" customHeight="1">
      <c r="A16" s="136" t="s">
        <v>306</v>
      </c>
      <c r="B16" s="42" t="s">
        <v>262</v>
      </c>
      <c r="C16" s="52">
        <f>398.78+75.25+76+137.33</f>
        <v>687.36</v>
      </c>
      <c r="D16" s="10"/>
      <c r="E16" s="10"/>
      <c r="F16" s="10"/>
      <c r="G16" s="6">
        <f t="shared" si="0"/>
        <v>687.36</v>
      </c>
      <c r="H16" s="247"/>
      <c r="J16" s="546" t="s">
        <v>263</v>
      </c>
      <c r="K16" s="547"/>
      <c r="X16" s="133"/>
    </row>
    <row r="17" spans="1:27">
      <c r="A17" s="136" t="s">
        <v>264</v>
      </c>
      <c r="B17" s="42" t="s">
        <v>265</v>
      </c>
      <c r="C17" s="52"/>
      <c r="D17" s="10"/>
      <c r="E17" s="10"/>
      <c r="F17" s="10"/>
      <c r="G17" s="6"/>
      <c r="H17" s="247"/>
      <c r="J17" s="219" t="s">
        <v>255</v>
      </c>
      <c r="K17" s="220">
        <f>12318.22</f>
        <v>12318.22</v>
      </c>
      <c r="X17" s="133"/>
    </row>
    <row r="18" spans="1:27">
      <c r="A18" s="131" t="s">
        <v>266</v>
      </c>
      <c r="B18" s="42" t="s">
        <v>267</v>
      </c>
      <c r="C18" s="52">
        <f>891.02+17.25+123.61+154.63+79.47+82.66</f>
        <v>1348.6399999999999</v>
      </c>
      <c r="D18" s="10"/>
      <c r="E18" s="10"/>
      <c r="F18" s="10"/>
      <c r="G18" s="6">
        <f>C18+E18</f>
        <v>1348.6399999999999</v>
      </c>
      <c r="H18" s="247"/>
      <c r="J18" s="223" t="s">
        <v>258</v>
      </c>
      <c r="K18" s="224">
        <f>H9-G12</f>
        <v>13306.155765979198</v>
      </c>
      <c r="X18" s="133"/>
    </row>
    <row r="19" spans="1:27">
      <c r="A19" s="250" t="s">
        <v>268</v>
      </c>
      <c r="B19" s="204" t="s">
        <v>269</v>
      </c>
      <c r="C19" s="205">
        <f>C4-C5</f>
        <v>17767.134234020807</v>
      </c>
      <c r="D19" s="264">
        <f>C19/C4</f>
        <v>0.29611890390034679</v>
      </c>
      <c r="E19" s="205">
        <f>E4-E5</f>
        <v>0</v>
      </c>
      <c r="F19" s="206" t="e">
        <f>E19/E4</f>
        <v>#DIV/0!</v>
      </c>
      <c r="G19" s="208">
        <f>G4-G5</f>
        <v>17767.134234020807</v>
      </c>
      <c r="H19" s="251">
        <f>G19/G4</f>
        <v>0.29611890390034679</v>
      </c>
      <c r="J19" s="235" t="s">
        <v>46</v>
      </c>
      <c r="K19" s="298">
        <f>K17/X6</f>
        <v>30.64233830845771</v>
      </c>
      <c r="X19" s="133"/>
      <c r="Z19" s="1"/>
      <c r="AA19" s="93"/>
    </row>
    <row r="20" spans="1:27">
      <c r="A20" s="252" t="s">
        <v>270</v>
      </c>
      <c r="B20" s="199" t="s">
        <v>271</v>
      </c>
      <c r="C20" s="199"/>
      <c r="D20" s="199"/>
      <c r="E20" s="199"/>
      <c r="F20" s="199"/>
      <c r="G20" s="291">
        <f>K4-45401.06</f>
        <v>14598.940000000002</v>
      </c>
      <c r="H20" s="304">
        <f>G20/K4</f>
        <v>0.24331566666666671</v>
      </c>
      <c r="J20" s="237" t="s">
        <v>55</v>
      </c>
      <c r="K20" s="314">
        <f>K18/X7</f>
        <v>30.574806447562494</v>
      </c>
      <c r="M20" s="564" t="s">
        <v>272</v>
      </c>
      <c r="N20" s="565"/>
      <c r="O20" s="565"/>
      <c r="P20" s="565"/>
      <c r="Q20" s="565"/>
      <c r="R20" s="565"/>
      <c r="S20" s="565"/>
      <c r="T20" s="565"/>
      <c r="U20" s="565"/>
      <c r="V20" s="565"/>
      <c r="W20" s="566"/>
      <c r="X20" s="127"/>
    </row>
    <row r="21" spans="1:27" ht="15.75" customHeight="1">
      <c r="A21" s="141"/>
      <c r="D21" s="46"/>
      <c r="E21" s="46"/>
      <c r="F21" s="46"/>
      <c r="H21" s="133"/>
      <c r="M21" s="75" t="s">
        <v>313</v>
      </c>
      <c r="N21" s="21" t="s">
        <v>314</v>
      </c>
      <c r="O21" s="21"/>
      <c r="P21" s="22"/>
      <c r="Q21" s="22"/>
      <c r="R21" s="22"/>
      <c r="S21" s="21"/>
      <c r="T21" s="21"/>
      <c r="U21" s="21"/>
      <c r="V21" s="21"/>
      <c r="W21" s="116"/>
      <c r="X21" s="551" t="s">
        <v>233</v>
      </c>
    </row>
    <row r="22" spans="1:27">
      <c r="A22" s="254" t="s">
        <v>279</v>
      </c>
      <c r="B22" s="241" t="s">
        <v>316</v>
      </c>
      <c r="C22" s="303" t="s">
        <v>317</v>
      </c>
      <c r="D22" s="47"/>
      <c r="E22" s="47"/>
      <c r="F22" s="47"/>
      <c r="H22" s="133"/>
      <c r="J22" s="233" t="s">
        <v>282</v>
      </c>
      <c r="K22" s="234"/>
      <c r="M22" s="117">
        <v>1</v>
      </c>
      <c r="N22" s="32">
        <v>2</v>
      </c>
      <c r="O22" s="32">
        <v>3</v>
      </c>
      <c r="P22" s="32">
        <v>4</v>
      </c>
      <c r="Q22" s="32">
        <v>5</v>
      </c>
      <c r="R22" s="32">
        <v>6</v>
      </c>
      <c r="S22" s="32">
        <v>7</v>
      </c>
      <c r="T22" s="32">
        <v>8</v>
      </c>
      <c r="U22" s="32">
        <v>9</v>
      </c>
      <c r="V22" s="32">
        <v>10</v>
      </c>
      <c r="W22" s="118">
        <v>11</v>
      </c>
      <c r="X22" s="552"/>
    </row>
    <row r="23" spans="1:27">
      <c r="A23" s="138" t="s">
        <v>283</v>
      </c>
      <c r="B23" s="268">
        <f>H6/G5</f>
        <v>0.53867147273548355</v>
      </c>
      <c r="C23" s="273">
        <f>6874.93/45401.06</f>
        <v>0.1514266406995784</v>
      </c>
      <c r="D23" s="47"/>
      <c r="E23" s="47"/>
      <c r="F23" s="47"/>
      <c r="H23" s="133"/>
      <c r="J23" s="227" t="s">
        <v>255</v>
      </c>
      <c r="K23" s="228">
        <f>X6/K6</f>
        <v>7.373440939104916</v>
      </c>
      <c r="M23" s="119">
        <f>X23/2</f>
        <v>2500</v>
      </c>
      <c r="N23" s="34">
        <f>M23</f>
        <v>2500</v>
      </c>
      <c r="O23" s="34"/>
      <c r="P23" s="34"/>
      <c r="Q23" s="34"/>
      <c r="R23" s="34"/>
      <c r="S23" s="34"/>
      <c r="T23" s="34"/>
      <c r="U23" s="34"/>
      <c r="V23" s="34"/>
      <c r="W23" s="120"/>
      <c r="X23" s="130">
        <f>K28</f>
        <v>5000</v>
      </c>
    </row>
    <row r="24" spans="1:27">
      <c r="A24" s="139" t="s">
        <v>263</v>
      </c>
      <c r="B24" s="268">
        <f>H9/G5</f>
        <v>0.41451498610073795</v>
      </c>
      <c r="C24" s="273">
        <f>12318.22/45401.06</f>
        <v>0.27132009693165754</v>
      </c>
      <c r="D24" s="47"/>
      <c r="E24" s="47"/>
      <c r="F24" s="47"/>
      <c r="H24" s="133"/>
      <c r="J24" s="229" t="s">
        <v>258</v>
      </c>
      <c r="K24" s="230">
        <f>X7/K6</f>
        <v>7.9823917828319884</v>
      </c>
      <c r="M24" s="121">
        <f>2431.82+398.78+75.25+76</f>
        <v>2981.8500000000004</v>
      </c>
      <c r="N24" s="122">
        <f>103.02+137.33</f>
        <v>240.35000000000002</v>
      </c>
      <c r="O24" s="122"/>
      <c r="P24" s="122"/>
      <c r="Q24" s="122"/>
      <c r="R24" s="122"/>
      <c r="S24" s="122"/>
      <c r="T24" s="122"/>
      <c r="U24" s="122"/>
      <c r="V24" s="122"/>
      <c r="W24" s="123"/>
      <c r="X24" s="189">
        <f>M24+N24</f>
        <v>3222.2000000000003</v>
      </c>
    </row>
    <row r="25" spans="1:27">
      <c r="A25" s="140" t="s">
        <v>284</v>
      </c>
      <c r="B25" s="269">
        <f>H15/G5</f>
        <v>0.10822945393589779</v>
      </c>
      <c r="C25" s="274">
        <f>26408.01/45401.06</f>
        <v>0.58166064845182031</v>
      </c>
      <c r="H25" s="133"/>
      <c r="J25" s="225" t="s">
        <v>285</v>
      </c>
      <c r="K25" s="226">
        <f>K24*K20</f>
        <v>244.06008374870135</v>
      </c>
      <c r="X25" s="133"/>
    </row>
    <row r="26" spans="1:27">
      <c r="A26" s="141"/>
      <c r="H26" s="133"/>
      <c r="X26" s="133"/>
    </row>
    <row r="27" spans="1:27" ht="27.75" customHeight="1">
      <c r="A27" s="141"/>
      <c r="H27" s="133"/>
      <c r="J27" s="231" t="s">
        <v>272</v>
      </c>
      <c r="K27" s="232"/>
      <c r="X27" s="133"/>
    </row>
    <row r="28" spans="1:27" ht="27.75" customHeight="1">
      <c r="A28" s="141"/>
      <c r="H28" s="133"/>
      <c r="J28" s="219" t="s">
        <v>255</v>
      </c>
      <c r="K28" s="220">
        <f>3500+1500</f>
        <v>5000</v>
      </c>
      <c r="X28" s="133"/>
    </row>
    <row r="29" spans="1:27">
      <c r="A29" s="141"/>
      <c r="H29" s="133"/>
      <c r="J29" s="223" t="s">
        <v>258</v>
      </c>
      <c r="K29" s="224">
        <f>X24</f>
        <v>3222.2000000000003</v>
      </c>
      <c r="X29" s="133"/>
    </row>
    <row r="30" spans="1:27">
      <c r="A30" s="141"/>
      <c r="H30" s="133"/>
      <c r="J30" s="225" t="s">
        <v>286</v>
      </c>
      <c r="K30" s="226">
        <f>K29/X7</f>
        <v>7.4039522058823541</v>
      </c>
      <c r="X30" s="133"/>
    </row>
    <row r="31" spans="1:27">
      <c r="A31" s="141"/>
      <c r="H31" s="133"/>
      <c r="X31" s="133"/>
    </row>
    <row r="32" spans="1:27">
      <c r="A32" s="141"/>
      <c r="H32" s="133"/>
      <c r="J32" s="101" t="s">
        <v>287</v>
      </c>
      <c r="K32" s="59"/>
      <c r="X32" s="133"/>
    </row>
    <row r="33" spans="1:24" ht="27.75">
      <c r="A33" s="141"/>
      <c r="H33" s="133"/>
      <c r="J33" s="7" t="s">
        <v>288</v>
      </c>
      <c r="K33" s="59"/>
      <c r="X33" s="133"/>
    </row>
    <row r="34" spans="1:24">
      <c r="A34" s="141"/>
      <c r="H34" s="133"/>
      <c r="X34" s="133"/>
    </row>
    <row r="35" spans="1:24">
      <c r="A35" s="141"/>
      <c r="H35" s="133"/>
      <c r="J35" s="541" t="s">
        <v>289</v>
      </c>
      <c r="K35" s="541"/>
      <c r="X35" s="133"/>
    </row>
    <row r="36" spans="1:24">
      <c r="A36" s="141"/>
      <c r="H36" s="133"/>
      <c r="J36" s="548">
        <v>45786</v>
      </c>
      <c r="K36" s="548"/>
      <c r="X36" s="133"/>
    </row>
    <row r="37" spans="1:24">
      <c r="A37" s="142"/>
      <c r="B37" s="143"/>
      <c r="C37" s="143"/>
      <c r="D37" s="143"/>
      <c r="E37" s="143"/>
      <c r="F37" s="143"/>
      <c r="G37" s="143"/>
      <c r="H37" s="144"/>
      <c r="I37" s="143"/>
      <c r="J37" s="143"/>
      <c r="K37" s="143"/>
      <c r="L37" s="143"/>
      <c r="M37" s="143"/>
      <c r="N37" s="143"/>
      <c r="O37" s="143"/>
      <c r="P37" s="143"/>
      <c r="Q37" s="143"/>
      <c r="R37" s="143"/>
      <c r="S37" s="143"/>
      <c r="T37" s="143"/>
      <c r="U37" s="143"/>
      <c r="V37" s="143"/>
      <c r="W37" s="143"/>
      <c r="X37" s="144"/>
    </row>
    <row r="38" spans="1:24">
      <c r="I38" s="1"/>
    </row>
    <row r="39" spans="1:24">
      <c r="A39" t="s">
        <v>318</v>
      </c>
      <c r="B39">
        <f>B40+B41+B42</f>
        <v>0</v>
      </c>
    </row>
    <row r="40" spans="1:24">
      <c r="B40" s="43"/>
    </row>
    <row r="41" spans="1:24">
      <c r="B41" s="43"/>
    </row>
    <row r="42" spans="1:24">
      <c r="B42" s="43"/>
    </row>
  </sheetData>
  <mergeCells count="15">
    <mergeCell ref="J16:K16"/>
    <mergeCell ref="J36:K36"/>
    <mergeCell ref="J35:K35"/>
    <mergeCell ref="X21:X22"/>
    <mergeCell ref="B1:X1"/>
    <mergeCell ref="X4:X5"/>
    <mergeCell ref="M20:W20"/>
    <mergeCell ref="A2:H2"/>
    <mergeCell ref="J2:X2"/>
    <mergeCell ref="C3:D3"/>
    <mergeCell ref="E3:F3"/>
    <mergeCell ref="G3:H3"/>
    <mergeCell ref="J3:K3"/>
    <mergeCell ref="M3:W3"/>
    <mergeCell ref="J11:K11"/>
  </mergeCells>
  <conditionalFormatting sqref="K13">
    <cfRule type="cellIs" dxfId="20" priority="5" operator="greaterThan">
      <formula>$K$12</formula>
    </cfRule>
  </conditionalFormatting>
  <conditionalFormatting sqref="K18">
    <cfRule type="cellIs" dxfId="19" priority="4" operator="greaterThan">
      <formula>$K$17</formula>
    </cfRule>
  </conditionalFormatting>
  <conditionalFormatting sqref="K20">
    <cfRule type="cellIs" dxfId="18" priority="3" operator="greaterThan">
      <formula>$K$19</formula>
    </cfRule>
  </conditionalFormatting>
  <conditionalFormatting sqref="K24">
    <cfRule type="cellIs" dxfId="17" priority="2" operator="greaterThan">
      <formula>$K$23</formula>
    </cfRule>
  </conditionalFormatting>
  <conditionalFormatting sqref="X7">
    <cfRule type="cellIs" dxfId="16" priority="1" operator="greaterThan">
      <formula>$X$6</formula>
    </cfRule>
  </conditionalFormatting>
  <pageMargins left="0.7" right="0.7" top="0.75" bottom="0.75" header="0.3" footer="0.3"/>
  <pageSetup paperSize="9" orientation="landscape"/>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49A9EF-851A-4F23-8996-6929923E8E24}">
  <sheetPr>
    <tabColor rgb="FF00B0F0"/>
    <pageSetUpPr fitToPage="1"/>
  </sheetPr>
  <dimension ref="A1:AA42"/>
  <sheetViews>
    <sheetView workbookViewId="0">
      <selection activeCell="B1" sqref="B1"/>
    </sheetView>
  </sheetViews>
  <sheetFormatPr defaultRowHeight="15" outlineLevelCol="1"/>
  <cols>
    <col min="1" max="1" width="34.28515625" customWidth="1"/>
    <col min="2" max="2" width="27.85546875" customWidth="1"/>
    <col min="3" max="3" width="12.42578125" customWidth="1"/>
    <col min="4" max="4" width="10.7109375" customWidth="1"/>
    <col min="5" max="5" width="10.7109375" hidden="1" customWidth="1" outlineLevel="1"/>
    <col min="6" max="6" width="10.140625" hidden="1" customWidth="1" outlineLevel="1"/>
    <col min="7" max="7" width="10.7109375" customWidth="1" collapsed="1"/>
    <col min="8" max="8" width="10.7109375" customWidth="1"/>
    <col min="9" max="9" width="3" customWidth="1"/>
    <col min="10" max="10" width="25.28515625" customWidth="1"/>
    <col min="11" max="11" width="18.140625" bestFit="1" customWidth="1"/>
    <col min="12" max="12" width="2.85546875" customWidth="1"/>
    <col min="13" max="13" width="20.7109375" hidden="1" customWidth="1" outlineLevel="1"/>
    <col min="14" max="14" width="13.140625" customWidth="1" collapsed="1"/>
    <col min="15" max="15" width="10.7109375" customWidth="1"/>
    <col min="16" max="17" width="10.7109375" hidden="1" customWidth="1" outlineLevel="1"/>
    <col min="18" max="23" width="12.7109375" hidden="1" customWidth="1" outlineLevel="1"/>
    <col min="24" max="24" width="3.5703125" hidden="1" customWidth="1" outlineLevel="1"/>
    <col min="25" max="25" width="14.140625" customWidth="1" collapsed="1"/>
    <col min="26" max="26" width="12.7109375" customWidth="1"/>
  </cols>
  <sheetData>
    <row r="1" spans="1:27" ht="25.5" customHeight="1">
      <c r="A1" s="99" t="s">
        <v>319</v>
      </c>
      <c r="B1" s="569" t="s">
        <v>320</v>
      </c>
      <c r="C1" s="569"/>
      <c r="D1" s="569"/>
      <c r="E1" s="569"/>
      <c r="F1" s="569"/>
      <c r="G1" s="569"/>
      <c r="H1" s="569"/>
      <c r="I1" s="569"/>
      <c r="J1" s="569"/>
      <c r="K1" s="569"/>
      <c r="L1" s="569"/>
      <c r="M1" s="569"/>
      <c r="N1" s="569"/>
      <c r="O1" s="569"/>
      <c r="P1" s="569"/>
      <c r="Q1" s="569"/>
      <c r="R1" s="569"/>
      <c r="S1" s="569"/>
      <c r="T1" s="569"/>
      <c r="U1" s="569"/>
      <c r="V1" s="569"/>
      <c r="W1" s="569"/>
      <c r="X1" s="569"/>
      <c r="Y1" s="569"/>
    </row>
    <row r="2" spans="1:27" ht="18.75">
      <c r="A2" s="530" t="s">
        <v>224</v>
      </c>
      <c r="B2" s="531"/>
      <c r="C2" s="531"/>
      <c r="D2" s="531"/>
      <c r="E2" s="531"/>
      <c r="F2" s="531"/>
      <c r="G2" s="531"/>
      <c r="H2" s="531"/>
      <c r="I2" s="570"/>
      <c r="J2" s="532"/>
      <c r="K2" s="532"/>
      <c r="L2" s="532"/>
      <c r="M2" s="532"/>
      <c r="N2" s="532"/>
      <c r="O2" s="532"/>
      <c r="P2" s="532"/>
      <c r="Q2" s="532"/>
      <c r="R2" s="532"/>
      <c r="S2" s="532"/>
      <c r="T2" s="532"/>
      <c r="U2" s="532"/>
      <c r="V2" s="532"/>
      <c r="W2" s="532"/>
      <c r="X2" s="532"/>
      <c r="Y2" s="533"/>
    </row>
    <row r="3" spans="1:27" ht="17.25" customHeight="1">
      <c r="A3" s="141"/>
      <c r="C3" s="534" t="s">
        <v>299</v>
      </c>
      <c r="D3" s="535"/>
      <c r="E3" s="534" t="s">
        <v>299</v>
      </c>
      <c r="F3" s="535"/>
      <c r="G3" s="571" t="s">
        <v>227</v>
      </c>
      <c r="H3" s="572"/>
      <c r="I3" s="282"/>
      <c r="J3" s="538" t="s">
        <v>228</v>
      </c>
      <c r="K3" s="539"/>
      <c r="L3" s="48"/>
      <c r="M3" s="19" t="s">
        <v>321</v>
      </c>
      <c r="N3" s="527" t="s">
        <v>10</v>
      </c>
      <c r="O3" s="567"/>
      <c r="P3" s="567"/>
      <c r="Q3" s="567"/>
      <c r="R3" s="567"/>
      <c r="S3" s="567"/>
      <c r="T3" s="567"/>
      <c r="U3" s="567"/>
      <c r="V3" s="567"/>
      <c r="W3" s="567"/>
      <c r="X3" s="568"/>
      <c r="Y3" s="190"/>
    </row>
    <row r="4" spans="1:27" ht="16.5" customHeight="1">
      <c r="A4" s="128" t="s">
        <v>229</v>
      </c>
      <c r="B4" s="113" t="s">
        <v>230</v>
      </c>
      <c r="C4" s="40">
        <f>K4+K5</f>
        <v>15496</v>
      </c>
      <c r="D4" s="49">
        <f>N7+O7+P7</f>
        <v>284.43</v>
      </c>
      <c r="E4" s="40"/>
      <c r="F4" s="8"/>
      <c r="G4" s="58">
        <f>C4</f>
        <v>15496</v>
      </c>
      <c r="H4" s="288">
        <f>D4+F4</f>
        <v>284.43</v>
      </c>
      <c r="I4" s="282"/>
      <c r="J4" s="209" t="s">
        <v>28</v>
      </c>
      <c r="K4" s="210">
        <v>15496</v>
      </c>
      <c r="L4" s="48"/>
      <c r="M4" s="20" t="s">
        <v>322</v>
      </c>
      <c r="N4" s="21"/>
      <c r="O4" s="22"/>
      <c r="P4" s="21"/>
      <c r="Q4" s="22"/>
      <c r="R4" s="22"/>
      <c r="S4" s="22"/>
      <c r="T4" s="22"/>
      <c r="U4" s="22"/>
      <c r="V4" s="22"/>
      <c r="W4" s="22"/>
      <c r="X4" s="22"/>
      <c r="Y4" s="551" t="s">
        <v>233</v>
      </c>
    </row>
    <row r="5" spans="1:27">
      <c r="A5" s="128" t="s">
        <v>234</v>
      </c>
      <c r="B5" s="113" t="s">
        <v>235</v>
      </c>
      <c r="C5" s="78">
        <f>C6+C7+C8+C9+C10+C11+C13+C14+C17+C15+C12+C16</f>
        <v>11993.105553291198</v>
      </c>
      <c r="D5" s="2"/>
      <c r="E5" s="78">
        <f>E6+E7+E8+E9+E10+E11+E13+E14+E17+E15+E12</f>
        <v>0</v>
      </c>
      <c r="F5" s="9"/>
      <c r="G5" s="5">
        <f>G6+G7+G8+G9+G10+G11+G13+G14+G17+G15+G12+G18+G16</f>
        <v>11993.105553291198</v>
      </c>
      <c r="H5" s="283"/>
      <c r="I5" s="141"/>
      <c r="J5" s="258" t="s">
        <v>32</v>
      </c>
      <c r="K5" s="259"/>
      <c r="M5" s="23"/>
      <c r="N5" s="37">
        <v>1</v>
      </c>
      <c r="O5" s="37">
        <v>2</v>
      </c>
      <c r="P5" s="37">
        <v>3</v>
      </c>
      <c r="Q5" s="37">
        <v>4</v>
      </c>
      <c r="R5" s="37">
        <v>5</v>
      </c>
      <c r="S5" s="37">
        <v>6</v>
      </c>
      <c r="T5" s="24">
        <v>7</v>
      </c>
      <c r="U5" s="24">
        <v>8</v>
      </c>
      <c r="V5" s="24">
        <v>9</v>
      </c>
      <c r="W5" s="24">
        <v>10</v>
      </c>
      <c r="X5" s="24">
        <v>11</v>
      </c>
      <c r="Y5" s="552"/>
    </row>
    <row r="6" spans="1:27">
      <c r="A6" s="129" t="s">
        <v>302</v>
      </c>
      <c r="B6" s="275" t="s">
        <v>237</v>
      </c>
      <c r="C6" s="52">
        <f>B38+1356.35-29.44+36.6+27.77+21.03+40.4+68.54+29.05+10.59+12.25+15.49+64</f>
        <v>1652.6299999999997</v>
      </c>
      <c r="D6" s="67">
        <f>C6+C7+C8</f>
        <v>2600.7999999999997</v>
      </c>
      <c r="E6" s="56"/>
      <c r="F6" s="10">
        <f>E6+E7+E8</f>
        <v>0</v>
      </c>
      <c r="G6" s="6">
        <f>C6+E6</f>
        <v>1652.6299999999997</v>
      </c>
      <c r="H6" s="284">
        <f>G6+G7+G8</f>
        <v>2600.7999999999997</v>
      </c>
      <c r="I6" s="141"/>
      <c r="J6" s="211" t="s">
        <v>238</v>
      </c>
      <c r="K6" s="212"/>
      <c r="M6" s="25"/>
      <c r="N6" s="26">
        <f>Y6</f>
        <v>0</v>
      </c>
      <c r="O6" s="26">
        <v>0</v>
      </c>
      <c r="P6" s="26"/>
      <c r="Q6" s="26"/>
      <c r="R6" s="26"/>
      <c r="S6" s="26"/>
      <c r="T6" s="27"/>
      <c r="U6" s="27"/>
      <c r="V6" s="27"/>
      <c r="W6" s="27"/>
      <c r="X6" s="27"/>
      <c r="Y6" s="130"/>
    </row>
    <row r="7" spans="1:27">
      <c r="A7" s="131" t="s">
        <v>303</v>
      </c>
      <c r="B7" s="276" t="s">
        <v>240</v>
      </c>
      <c r="C7" s="52"/>
      <c r="D7" s="10"/>
      <c r="E7" s="56"/>
      <c r="F7" s="10"/>
      <c r="G7" s="6">
        <f t="shared" ref="G7:G17" si="0">C7+E7</f>
        <v>0</v>
      </c>
      <c r="H7" s="284"/>
      <c r="I7" s="141"/>
      <c r="J7" s="213" t="s">
        <v>241</v>
      </c>
      <c r="K7" s="214" t="s">
        <v>242</v>
      </c>
      <c r="M7" s="28"/>
      <c r="N7" s="29">
        <v>278.93</v>
      </c>
      <c r="O7" s="30">
        <v>5.5</v>
      </c>
      <c r="P7" s="30"/>
      <c r="Q7" s="30"/>
      <c r="R7" s="30"/>
      <c r="S7" s="30"/>
      <c r="T7" s="31"/>
      <c r="U7" s="31"/>
      <c r="V7" s="31"/>
      <c r="W7" s="31"/>
      <c r="X7" s="31"/>
      <c r="Y7" s="191"/>
      <c r="Z7" s="1"/>
      <c r="AA7" s="1"/>
    </row>
    <row r="8" spans="1:27">
      <c r="A8" s="132" t="s">
        <v>243</v>
      </c>
      <c r="B8" s="114" t="s">
        <v>244</v>
      </c>
      <c r="C8" s="66">
        <f>363.64+584.53</f>
        <v>948.17</v>
      </c>
      <c r="D8" s="11"/>
      <c r="E8" s="82"/>
      <c r="F8" s="11"/>
      <c r="G8" s="6">
        <f t="shared" si="0"/>
        <v>948.17</v>
      </c>
      <c r="H8" s="1"/>
      <c r="I8" s="141"/>
      <c r="J8" s="215" t="s">
        <v>245</v>
      </c>
      <c r="K8" s="216">
        <v>13</v>
      </c>
      <c r="Y8" s="133"/>
      <c r="Z8" s="1"/>
      <c r="AA8" s="1"/>
    </row>
    <row r="9" spans="1:27">
      <c r="A9" s="129" t="s">
        <v>246</v>
      </c>
      <c r="B9" s="275" t="s">
        <v>247</v>
      </c>
      <c r="C9" s="159">
        <f>(3960.27+55)*1.48</f>
        <v>5942.5995999999996</v>
      </c>
      <c r="D9" s="63">
        <f>C9+C10+C11+C13+C12</f>
        <v>9016.7355532911988</v>
      </c>
      <c r="E9" s="70"/>
      <c r="F9" s="54">
        <f>E9+E10+E11+E13+E12</f>
        <v>0</v>
      </c>
      <c r="G9" s="16">
        <f t="shared" si="0"/>
        <v>5942.5995999999996</v>
      </c>
      <c r="H9" s="285">
        <f>G9+G10+G11+G13+G12</f>
        <v>9016.7355532911988</v>
      </c>
      <c r="I9" s="141"/>
      <c r="J9" s="217" t="s">
        <v>248</v>
      </c>
      <c r="K9" s="218">
        <v>12</v>
      </c>
      <c r="Y9" s="133"/>
    </row>
    <row r="10" spans="1:27">
      <c r="A10" s="131" t="s">
        <v>249</v>
      </c>
      <c r="B10" s="276" t="s">
        <v>250</v>
      </c>
      <c r="C10" s="52">
        <f>C9*0.2359</f>
        <v>1401.8592456399999</v>
      </c>
      <c r="D10" s="10"/>
      <c r="E10" s="69">
        <f>E9*0.2359</f>
        <v>0</v>
      </c>
      <c r="F10" s="41"/>
      <c r="G10" s="17">
        <f t="shared" si="0"/>
        <v>1401.8592456399999</v>
      </c>
      <c r="H10" s="1"/>
      <c r="I10" s="141"/>
      <c r="Y10" s="133"/>
    </row>
    <row r="11" spans="1:27">
      <c r="A11" s="131" t="s">
        <v>251</v>
      </c>
      <c r="B11" s="276" t="s">
        <v>252</v>
      </c>
      <c r="C11" s="52">
        <f>(C9+C10)*0.08</f>
        <v>587.55670765119999</v>
      </c>
      <c r="D11" s="10"/>
      <c r="E11" s="69">
        <f>(E9+E10)*0.08</f>
        <v>0</v>
      </c>
      <c r="F11" s="41"/>
      <c r="G11" s="17">
        <f t="shared" si="0"/>
        <v>587.55670765119999</v>
      </c>
      <c r="H11" s="1"/>
      <c r="I11" s="141"/>
      <c r="J11" s="544" t="s">
        <v>253</v>
      </c>
      <c r="K11" s="545"/>
      <c r="Y11" s="133"/>
    </row>
    <row r="12" spans="1:27">
      <c r="A12" s="134" t="s">
        <v>254</v>
      </c>
      <c r="B12" s="277" t="s">
        <v>14</v>
      </c>
      <c r="C12" s="53">
        <f>(C4)*0.07</f>
        <v>1084.72</v>
      </c>
      <c r="D12" s="56"/>
      <c r="E12" s="69">
        <f>(E13+E11+E10+E9)*0.07</f>
        <v>0</v>
      </c>
      <c r="F12" s="50"/>
      <c r="G12" s="17">
        <f t="shared" si="0"/>
        <v>1084.72</v>
      </c>
      <c r="H12" s="1"/>
      <c r="I12" s="141"/>
      <c r="J12" s="219" t="s">
        <v>255</v>
      </c>
      <c r="K12" s="220"/>
      <c r="Y12" s="133"/>
    </row>
    <row r="13" spans="1:27">
      <c r="A13" s="131" t="s">
        <v>304</v>
      </c>
      <c r="B13" s="276" t="s">
        <v>257</v>
      </c>
      <c r="C13" s="55"/>
      <c r="D13" s="57"/>
      <c r="E13" s="81"/>
      <c r="F13" s="51"/>
      <c r="G13" s="18">
        <f t="shared" si="0"/>
        <v>0</v>
      </c>
      <c r="H13" s="286"/>
      <c r="I13" s="141"/>
      <c r="J13" s="221" t="s">
        <v>258</v>
      </c>
      <c r="K13" s="222">
        <f>H6</f>
        <v>2600.7999999999997</v>
      </c>
      <c r="Y13" s="133"/>
    </row>
    <row r="14" spans="1:27">
      <c r="A14" s="135" t="s">
        <v>305</v>
      </c>
      <c r="B14" s="275" t="s">
        <v>260</v>
      </c>
      <c r="C14" s="13"/>
      <c r="D14" s="67">
        <f>C14+C17+C15+C16</f>
        <v>375.57</v>
      </c>
      <c r="E14" s="69"/>
      <c r="F14" s="67">
        <f>E14+E17+E15</f>
        <v>0</v>
      </c>
      <c r="G14" s="6">
        <f t="shared" si="0"/>
        <v>0</v>
      </c>
      <c r="H14" s="1">
        <f>G14+G17+G15+G18+G16</f>
        <v>375.57</v>
      </c>
      <c r="I14" s="141"/>
      <c r="Y14" s="133"/>
    </row>
    <row r="15" spans="1:27" ht="31.5" customHeight="1">
      <c r="A15" s="136" t="s">
        <v>306</v>
      </c>
      <c r="B15" s="276" t="s">
        <v>262</v>
      </c>
      <c r="C15" s="52"/>
      <c r="D15" s="10"/>
      <c r="E15" s="10"/>
      <c r="F15" s="10"/>
      <c r="G15" s="6">
        <f t="shared" si="0"/>
        <v>0</v>
      </c>
      <c r="H15" s="1"/>
      <c r="I15" s="141"/>
      <c r="J15" s="546" t="s">
        <v>263</v>
      </c>
      <c r="K15" s="547"/>
      <c r="Y15" s="133"/>
    </row>
    <row r="16" spans="1:27" ht="21.75" customHeight="1">
      <c r="A16" s="136" t="s">
        <v>264</v>
      </c>
      <c r="B16" s="276" t="s">
        <v>265</v>
      </c>
      <c r="C16" s="52"/>
      <c r="D16" s="10"/>
      <c r="E16" s="10"/>
      <c r="F16" s="10"/>
      <c r="G16" s="6">
        <f>C16</f>
        <v>0</v>
      </c>
      <c r="H16" s="1"/>
      <c r="I16" s="141"/>
      <c r="J16" s="219" t="s">
        <v>255</v>
      </c>
      <c r="K16" s="220"/>
      <c r="Y16" s="133"/>
    </row>
    <row r="17" spans="1:25">
      <c r="A17" s="131" t="s">
        <v>266</v>
      </c>
      <c r="B17" s="276" t="s">
        <v>267</v>
      </c>
      <c r="C17" s="13">
        <f>125+129.66+120.91</f>
        <v>375.57</v>
      </c>
      <c r="D17" s="10"/>
      <c r="E17" s="10"/>
      <c r="F17" s="10"/>
      <c r="G17" s="6">
        <f t="shared" si="0"/>
        <v>375.57</v>
      </c>
      <c r="H17" s="1"/>
      <c r="I17" s="141"/>
      <c r="J17" s="223" t="s">
        <v>258</v>
      </c>
      <c r="K17" s="224">
        <f>G9+G10+G11+G13</f>
        <v>7932.0155532911995</v>
      </c>
      <c r="Y17" s="133"/>
    </row>
    <row r="18" spans="1:25">
      <c r="A18" s="131"/>
      <c r="B18" s="276"/>
      <c r="C18" s="13"/>
      <c r="D18" s="10"/>
      <c r="E18" s="10"/>
      <c r="F18" s="10"/>
      <c r="G18" s="6"/>
      <c r="H18" s="1"/>
      <c r="I18" s="141"/>
      <c r="J18" s="235" t="s">
        <v>46</v>
      </c>
      <c r="K18" s="236" t="e">
        <f>K16/Y6</f>
        <v>#DIV/0!</v>
      </c>
      <c r="Y18" s="133"/>
    </row>
    <row r="19" spans="1:25">
      <c r="A19" s="250" t="s">
        <v>268</v>
      </c>
      <c r="B19" s="278" t="s">
        <v>269</v>
      </c>
      <c r="C19" s="205">
        <f>C4-C5</f>
        <v>3502.8944467088022</v>
      </c>
      <c r="D19" s="264">
        <f>C19/C4</f>
        <v>0.22605152598791961</v>
      </c>
      <c r="E19" s="205">
        <f>E4-E5</f>
        <v>0</v>
      </c>
      <c r="F19" s="264" t="e">
        <f>E19/E4</f>
        <v>#DIV/0!</v>
      </c>
      <c r="G19" s="263">
        <f>G4-G5</f>
        <v>3502.8944467088022</v>
      </c>
      <c r="H19" s="264">
        <f>G19/G4</f>
        <v>0.22605152598791961</v>
      </c>
      <c r="I19" s="141"/>
      <c r="J19" s="237" t="s">
        <v>55</v>
      </c>
      <c r="K19" s="314" t="e">
        <f>K17/Y7</f>
        <v>#DIV/0!</v>
      </c>
      <c r="Y19" s="133"/>
    </row>
    <row r="20" spans="1:25">
      <c r="A20" s="280" t="s">
        <v>270</v>
      </c>
      <c r="B20" s="199" t="s">
        <v>271</v>
      </c>
      <c r="C20" s="200"/>
      <c r="D20" s="201"/>
      <c r="E20" s="202"/>
      <c r="F20" s="201"/>
      <c r="G20" s="265"/>
      <c r="H20" s="287">
        <f>G20/K4</f>
        <v>0</v>
      </c>
      <c r="I20" s="141"/>
      <c r="Y20" s="133"/>
    </row>
    <row r="21" spans="1:25" ht="31.5" customHeight="1">
      <c r="A21" s="137"/>
      <c r="B21" s="45"/>
      <c r="C21" s="45"/>
      <c r="D21" s="45"/>
      <c r="E21" s="45"/>
      <c r="F21" s="45"/>
      <c r="I21" s="141"/>
      <c r="J21" s="233" t="s">
        <v>282</v>
      </c>
      <c r="K21" s="234"/>
      <c r="M21" s="19" t="s">
        <v>321</v>
      </c>
      <c r="N21" s="527" t="s">
        <v>272</v>
      </c>
      <c r="O21" s="567"/>
      <c r="P21" s="567"/>
      <c r="Q21" s="567"/>
      <c r="R21" s="567"/>
      <c r="S21" s="567"/>
      <c r="T21" s="567"/>
      <c r="U21" s="567"/>
      <c r="V21" s="567"/>
      <c r="W21" s="567"/>
      <c r="X21" s="568"/>
      <c r="Y21" s="190"/>
    </row>
    <row r="22" spans="1:25" ht="24" customHeight="1">
      <c r="A22" s="254" t="s">
        <v>279</v>
      </c>
      <c r="B22" s="241" t="s">
        <v>280</v>
      </c>
      <c r="C22" s="197" t="s">
        <v>281</v>
      </c>
      <c r="D22" s="46"/>
      <c r="E22" s="46"/>
      <c r="F22" s="46"/>
      <c r="I22" s="141"/>
      <c r="J22" s="227" t="s">
        <v>255</v>
      </c>
      <c r="K22" s="228" t="e">
        <f>Y6/K6</f>
        <v>#DIV/0!</v>
      </c>
      <c r="M22" s="20" t="s">
        <v>322</v>
      </c>
      <c r="N22" s="21">
        <f>N4</f>
        <v>0</v>
      </c>
      <c r="O22" s="22">
        <f>O4</f>
        <v>0</v>
      </c>
      <c r="P22" s="21">
        <f>P4</f>
        <v>0</v>
      </c>
      <c r="Q22" s="22">
        <f>Q4</f>
        <v>0</v>
      </c>
      <c r="R22" s="22">
        <f>R4</f>
        <v>0</v>
      </c>
      <c r="S22" s="22"/>
      <c r="T22" s="21"/>
      <c r="U22" s="21"/>
      <c r="V22" s="21"/>
      <c r="W22" s="21"/>
      <c r="X22" s="21"/>
      <c r="Y22" s="542" t="s">
        <v>233</v>
      </c>
    </row>
    <row r="23" spans="1:25">
      <c r="A23" s="139" t="s">
        <v>283</v>
      </c>
      <c r="B23" s="268">
        <f>H6/G5</f>
        <v>0.21685792628467923</v>
      </c>
      <c r="C23" s="273"/>
      <c r="D23" s="47"/>
      <c r="E23" s="47"/>
      <c r="F23" s="47"/>
      <c r="I23" s="141"/>
      <c r="J23" s="229" t="s">
        <v>258</v>
      </c>
      <c r="K23" s="230" t="e">
        <f>Y7/K6</f>
        <v>#DIV/0!</v>
      </c>
      <c r="M23" s="20"/>
      <c r="N23" s="32">
        <v>1</v>
      </c>
      <c r="O23" s="32">
        <v>2</v>
      </c>
      <c r="P23" s="32">
        <v>3</v>
      </c>
      <c r="Q23" s="32">
        <v>4</v>
      </c>
      <c r="R23" s="32">
        <v>5</v>
      </c>
      <c r="S23" s="32">
        <v>6</v>
      </c>
      <c r="T23" s="32">
        <v>7</v>
      </c>
      <c r="U23" s="32">
        <v>8</v>
      </c>
      <c r="V23" s="32">
        <v>9</v>
      </c>
      <c r="W23" s="32">
        <v>10</v>
      </c>
      <c r="X23" s="32">
        <v>11</v>
      </c>
      <c r="Y23" s="543"/>
    </row>
    <row r="24" spans="1:25">
      <c r="A24" s="139" t="s">
        <v>263</v>
      </c>
      <c r="B24" s="268">
        <f>H9/G5</f>
        <v>0.75182658179947304</v>
      </c>
      <c r="C24" s="273"/>
      <c r="D24" s="47"/>
      <c r="E24" s="47"/>
      <c r="F24" s="47"/>
      <c r="I24" s="141"/>
      <c r="J24" s="225" t="s">
        <v>285</v>
      </c>
      <c r="K24" s="226" t="e">
        <f>K23*K19</f>
        <v>#DIV/0!</v>
      </c>
      <c r="M24" s="33"/>
      <c r="N24" s="34">
        <f>Y24</f>
        <v>0</v>
      </c>
      <c r="O24" s="34"/>
      <c r="P24" s="34"/>
      <c r="Q24" s="34"/>
      <c r="R24" s="34"/>
      <c r="S24" s="34"/>
      <c r="T24" s="34"/>
      <c r="U24" s="34"/>
      <c r="V24" s="34"/>
      <c r="W24" s="34"/>
      <c r="X24" s="34"/>
      <c r="Y24" s="192"/>
    </row>
    <row r="25" spans="1:25">
      <c r="A25" s="140" t="s">
        <v>284</v>
      </c>
      <c r="B25" s="269">
        <f>H14/G5</f>
        <v>3.1315491915847808E-2</v>
      </c>
      <c r="C25" s="274"/>
      <c r="D25" s="47"/>
      <c r="E25" s="47"/>
      <c r="F25" s="47"/>
      <c r="I25" s="141"/>
      <c r="M25" s="33"/>
      <c r="N25" s="35">
        <f>G14+G15</f>
        <v>0</v>
      </c>
      <c r="O25" s="36"/>
      <c r="P25" s="36"/>
      <c r="Q25" s="36"/>
      <c r="R25" s="36"/>
      <c r="S25" s="36"/>
      <c r="T25" s="36"/>
      <c r="U25" s="36"/>
      <c r="V25" s="36"/>
      <c r="W25" s="36"/>
      <c r="X25" s="36"/>
      <c r="Y25" s="193">
        <f t="shared" ref="Y25" si="1">N25+O25+P25+Q25+R25+S25+X25+T25+U25+V25+W25</f>
        <v>0</v>
      </c>
    </row>
    <row r="26" spans="1:25">
      <c r="A26" s="141"/>
      <c r="I26" s="141"/>
      <c r="J26" s="231" t="s">
        <v>272</v>
      </c>
      <c r="K26" s="232"/>
      <c r="Y26" s="133"/>
    </row>
    <row r="27" spans="1:25">
      <c r="A27" s="141"/>
      <c r="I27" s="141"/>
      <c r="J27" s="219" t="s">
        <v>255</v>
      </c>
      <c r="K27" s="220">
        <f>X27</f>
        <v>0</v>
      </c>
      <c r="Y27" s="133"/>
    </row>
    <row r="28" spans="1:25" ht="24.75" customHeight="1">
      <c r="A28" s="141"/>
      <c r="I28" s="141"/>
      <c r="J28" s="223" t="s">
        <v>258</v>
      </c>
      <c r="K28" s="224">
        <f>X28</f>
        <v>0</v>
      </c>
      <c r="Y28" s="133"/>
    </row>
    <row r="29" spans="1:25">
      <c r="A29" s="141"/>
      <c r="I29" s="141"/>
      <c r="J29" s="225" t="s">
        <v>286</v>
      </c>
      <c r="K29" s="279">
        <v>0</v>
      </c>
      <c r="Y29" s="133"/>
    </row>
    <row r="30" spans="1:25">
      <c r="A30" s="141"/>
      <c r="I30" s="141"/>
      <c r="Y30" s="133"/>
    </row>
    <row r="31" spans="1:25">
      <c r="A31" s="141"/>
      <c r="I31" s="141"/>
      <c r="J31" s="101" t="s">
        <v>287</v>
      </c>
      <c r="K31" s="59"/>
      <c r="Y31" s="133"/>
    </row>
    <row r="32" spans="1:25" ht="27.75">
      <c r="A32" s="141"/>
      <c r="I32" s="141"/>
      <c r="J32" s="7" t="s">
        <v>288</v>
      </c>
      <c r="K32" s="59"/>
      <c r="Y32" s="133"/>
    </row>
    <row r="33" spans="1:25">
      <c r="A33" s="141"/>
      <c r="I33" s="141"/>
      <c r="Y33" s="133"/>
    </row>
    <row r="34" spans="1:25">
      <c r="A34" s="141"/>
      <c r="I34" s="141"/>
      <c r="J34" s="267" t="s">
        <v>289</v>
      </c>
      <c r="K34" s="266"/>
      <c r="Y34" s="133"/>
    </row>
    <row r="35" spans="1:25">
      <c r="A35" s="142"/>
      <c r="B35" s="143"/>
      <c r="C35" s="143"/>
      <c r="D35" s="143"/>
      <c r="E35" s="143"/>
      <c r="F35" s="143"/>
      <c r="G35" s="143"/>
      <c r="H35" s="143"/>
      <c r="I35" s="142"/>
      <c r="J35" s="281"/>
      <c r="K35" s="198">
        <v>45744</v>
      </c>
      <c r="L35" s="143"/>
      <c r="M35" s="143"/>
      <c r="N35" s="143"/>
      <c r="O35" s="143"/>
      <c r="P35" s="143"/>
      <c r="Q35" s="143"/>
      <c r="R35" s="143"/>
      <c r="S35" s="143"/>
      <c r="T35" s="143"/>
      <c r="U35" s="143"/>
      <c r="V35" s="143"/>
      <c r="W35" s="143"/>
      <c r="X35" s="143"/>
      <c r="Y35" s="144"/>
    </row>
    <row r="38" spans="1:25">
      <c r="A38" t="s">
        <v>323</v>
      </c>
      <c r="B38" s="330">
        <f>B39</f>
        <v>0</v>
      </c>
    </row>
    <row r="39" spans="1:25">
      <c r="B39" s="1"/>
    </row>
    <row r="40" spans="1:25">
      <c r="B40" s="1"/>
    </row>
    <row r="41" spans="1:25">
      <c r="A41" s="109"/>
      <c r="B41" s="1"/>
    </row>
    <row r="42" spans="1:25">
      <c r="B42" s="1"/>
    </row>
  </sheetData>
  <mergeCells count="13">
    <mergeCell ref="B1:Y1"/>
    <mergeCell ref="A2:H2"/>
    <mergeCell ref="I2:Y2"/>
    <mergeCell ref="C3:D3"/>
    <mergeCell ref="E3:F3"/>
    <mergeCell ref="G3:H3"/>
    <mergeCell ref="J3:K3"/>
    <mergeCell ref="N3:X3"/>
    <mergeCell ref="Y22:Y23"/>
    <mergeCell ref="Y4:Y5"/>
    <mergeCell ref="N21:X21"/>
    <mergeCell ref="J11:K11"/>
    <mergeCell ref="J15:K15"/>
  </mergeCells>
  <pageMargins left="0.7" right="0.7" top="0.75" bottom="0.75" header="0.3" footer="0.3"/>
  <pageSetup paperSize="9" orientation="landscape"/>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A442C-09A0-4DDB-9EA3-0A79BF882AD8}">
  <sheetPr>
    <tabColor rgb="FF92D050"/>
    <pageSetUpPr fitToPage="1"/>
  </sheetPr>
  <dimension ref="A1:AB46"/>
  <sheetViews>
    <sheetView workbookViewId="0">
      <selection activeCell="C4" sqref="C4"/>
    </sheetView>
  </sheetViews>
  <sheetFormatPr defaultColWidth="9.140625" defaultRowHeight="15" outlineLevelCol="1"/>
  <cols>
    <col min="1" max="1" width="34.85546875" customWidth="1"/>
    <col min="2" max="2" width="30.28515625" customWidth="1"/>
    <col min="3" max="3" width="14" customWidth="1"/>
    <col min="4" max="4" width="12.7109375" customWidth="1"/>
    <col min="5" max="6" width="8.7109375" hidden="1" customWidth="1" outlineLevel="1"/>
    <col min="7" max="7" width="8.7109375" hidden="1" customWidth="1" outlineLevel="1" collapsed="1"/>
    <col min="8" max="8" width="8.7109375" hidden="1" customWidth="1" outlineLevel="1"/>
    <col min="9" max="9" width="10.7109375" customWidth="1" collapsed="1"/>
    <col min="10" max="10" width="10.7109375" customWidth="1"/>
    <col min="11" max="11" width="3.28515625" customWidth="1"/>
    <col min="12" max="12" width="28.28515625" customWidth="1"/>
    <col min="13" max="13" width="15.5703125" customWidth="1"/>
    <col min="14" max="14" width="2.85546875" customWidth="1"/>
    <col min="15" max="15" width="9.5703125" customWidth="1"/>
    <col min="16" max="16" width="9.42578125" customWidth="1"/>
    <col min="17" max="17" width="9.140625" customWidth="1"/>
    <col min="18" max="25" width="7.28515625" hidden="1" customWidth="1" outlineLevel="1"/>
    <col min="26" max="26" width="9.7109375" customWidth="1" collapsed="1"/>
    <col min="27" max="27" width="12.7109375" customWidth="1"/>
    <col min="28" max="28" width="13.85546875" bestFit="1" customWidth="1"/>
  </cols>
  <sheetData>
    <row r="1" spans="1:28" ht="26.25">
      <c r="A1" s="145" t="s">
        <v>324</v>
      </c>
      <c r="B1" s="573" t="s">
        <v>325</v>
      </c>
      <c r="C1" s="573"/>
      <c r="D1" s="573"/>
      <c r="E1" s="573"/>
      <c r="F1" s="573"/>
      <c r="G1" s="573"/>
      <c r="H1" s="573"/>
      <c r="I1" s="573"/>
      <c r="J1" s="573"/>
      <c r="K1" s="573"/>
      <c r="L1" s="573"/>
      <c r="M1" s="573"/>
      <c r="N1" s="573"/>
      <c r="O1" s="573"/>
      <c r="P1" s="573"/>
      <c r="Q1" s="573"/>
      <c r="R1" s="573"/>
      <c r="S1" s="573"/>
      <c r="T1" s="573"/>
      <c r="U1" s="573"/>
      <c r="V1" s="573"/>
      <c r="W1" s="573"/>
      <c r="X1" s="573"/>
      <c r="Y1" s="573"/>
      <c r="Z1" s="573"/>
    </row>
    <row r="2" spans="1:28" ht="18.75">
      <c r="A2" s="576" t="s">
        <v>224</v>
      </c>
      <c r="B2" s="531"/>
      <c r="C2" s="531"/>
      <c r="D2" s="531"/>
      <c r="E2" s="531"/>
      <c r="F2" s="531"/>
      <c r="G2" s="531"/>
      <c r="H2" s="531"/>
      <c r="I2" s="531"/>
      <c r="J2" s="577"/>
      <c r="K2" s="4"/>
      <c r="L2" s="532"/>
      <c r="M2" s="532"/>
      <c r="N2" s="532"/>
      <c r="O2" s="532"/>
      <c r="P2" s="532"/>
      <c r="Q2" s="532"/>
      <c r="R2" s="532"/>
      <c r="S2" s="532"/>
      <c r="T2" s="532"/>
      <c r="U2" s="532"/>
      <c r="V2" s="532"/>
      <c r="W2" s="532"/>
      <c r="X2" s="532"/>
      <c r="Y2" s="532"/>
      <c r="Z2" s="533"/>
    </row>
    <row r="3" spans="1:28" ht="20.25" customHeight="1">
      <c r="A3" s="141"/>
      <c r="C3" s="534" t="s">
        <v>326</v>
      </c>
      <c r="D3" s="578"/>
      <c r="E3" s="579">
        <v>44958</v>
      </c>
      <c r="F3" s="535"/>
      <c r="G3" s="534"/>
      <c r="H3" s="535"/>
      <c r="I3" s="571" t="s">
        <v>227</v>
      </c>
      <c r="J3" s="580"/>
      <c r="L3" s="538" t="s">
        <v>228</v>
      </c>
      <c r="M3" s="539"/>
      <c r="N3" s="48"/>
      <c r="O3" s="527" t="s">
        <v>10</v>
      </c>
      <c r="P3" s="567"/>
      <c r="Q3" s="567"/>
      <c r="R3" s="567"/>
      <c r="S3" s="567"/>
      <c r="T3" s="567"/>
      <c r="U3" s="567"/>
      <c r="V3" s="567"/>
      <c r="W3" s="567"/>
      <c r="X3" s="567"/>
      <c r="Y3" s="568"/>
      <c r="Z3" s="190"/>
    </row>
    <row r="4" spans="1:28" ht="18.75" customHeight="1">
      <c r="A4" s="128" t="s">
        <v>229</v>
      </c>
      <c r="B4" s="2" t="s">
        <v>230</v>
      </c>
      <c r="C4" s="40">
        <f>(M4+M5)</f>
        <v>67309.81</v>
      </c>
      <c r="D4" s="71">
        <f>O7+P7+Q7</f>
        <v>734.6</v>
      </c>
      <c r="E4" s="115"/>
      <c r="F4" s="8"/>
      <c r="G4" s="40"/>
      <c r="H4" s="8"/>
      <c r="I4" s="58">
        <f>C4+G4</f>
        <v>67309.81</v>
      </c>
      <c r="J4" s="244">
        <f>D4+F4</f>
        <v>734.6</v>
      </c>
      <c r="L4" s="209" t="s">
        <v>28</v>
      </c>
      <c r="M4" s="318">
        <f>62271.61-2500</f>
        <v>59771.61</v>
      </c>
      <c r="N4" s="48"/>
      <c r="O4" s="100" t="s">
        <v>327</v>
      </c>
      <c r="P4" s="100" t="s">
        <v>328</v>
      </c>
      <c r="Q4" s="100" t="s">
        <v>329</v>
      </c>
      <c r="R4" s="77"/>
      <c r="S4" s="77"/>
      <c r="T4" s="77"/>
      <c r="U4" s="77"/>
      <c r="V4" s="77"/>
      <c r="W4" s="77"/>
      <c r="X4" s="77"/>
      <c r="Y4" s="22"/>
      <c r="Z4" s="574" t="s">
        <v>233</v>
      </c>
    </row>
    <row r="5" spans="1:28">
      <c r="A5" s="128" t="s">
        <v>234</v>
      </c>
      <c r="B5" s="2" t="s">
        <v>235</v>
      </c>
      <c r="C5" s="78">
        <f>C6+C7+C8+C9+C10+C11+C13+C14+C17+C15+C12</f>
        <v>58583.808048561601</v>
      </c>
      <c r="D5" s="9"/>
      <c r="E5" s="102">
        <f>E6+E7+E8+E9+E10+E11+E13+E14+E17+E15+E12</f>
        <v>0</v>
      </c>
      <c r="F5" s="9"/>
      <c r="G5" s="78">
        <f>G6+G7+G8+G9+G10+G11+G13+G14+G17+G15+G12</f>
        <v>0</v>
      </c>
      <c r="H5" s="9"/>
      <c r="I5" s="5">
        <f>I6+I7+I8+I9+I10+I11+I13+I14+I17+I15+I12+I16</f>
        <v>58583.808048561601</v>
      </c>
      <c r="J5" s="245"/>
      <c r="L5" s="258" t="s">
        <v>32</v>
      </c>
      <c r="M5" s="259">
        <f>5628.2+700+510+700</f>
        <v>7538.2</v>
      </c>
      <c r="O5" s="37">
        <v>1</v>
      </c>
      <c r="P5" s="37">
        <v>2</v>
      </c>
      <c r="Q5" s="37">
        <v>3</v>
      </c>
      <c r="R5" s="37">
        <v>4</v>
      </c>
      <c r="S5" s="37">
        <v>5</v>
      </c>
      <c r="T5" s="37">
        <v>6</v>
      </c>
      <c r="U5" s="24">
        <v>7</v>
      </c>
      <c r="V5" s="24">
        <v>8</v>
      </c>
      <c r="W5" s="24">
        <v>9</v>
      </c>
      <c r="X5" s="24">
        <v>10</v>
      </c>
      <c r="Y5" s="24">
        <v>11</v>
      </c>
      <c r="Z5" s="575"/>
    </row>
    <row r="6" spans="1:28">
      <c r="A6" s="129" t="s">
        <v>302</v>
      </c>
      <c r="B6" s="38" t="s">
        <v>237</v>
      </c>
      <c r="C6" s="52">
        <f>5850.59+2.04</f>
        <v>5852.63</v>
      </c>
      <c r="D6" s="67">
        <f>C6+C7+C8</f>
        <v>31486.59</v>
      </c>
      <c r="E6" s="56"/>
      <c r="F6" s="10">
        <f>E6+E7+E8</f>
        <v>0</v>
      </c>
      <c r="G6" s="15"/>
      <c r="H6" s="10">
        <f>G6+G7+G8</f>
        <v>0</v>
      </c>
      <c r="I6" s="6">
        <f>C6+E6+G6</f>
        <v>5852.63</v>
      </c>
      <c r="J6" s="246">
        <f>I6+I7+I8</f>
        <v>31486.59</v>
      </c>
      <c r="L6" s="211" t="s">
        <v>238</v>
      </c>
      <c r="M6" s="212">
        <f>28.4+4.8</f>
        <v>33.199999999999996</v>
      </c>
      <c r="O6" s="26">
        <f>Z6/3</f>
        <v>173</v>
      </c>
      <c r="P6" s="26">
        <f>O6</f>
        <v>173</v>
      </c>
      <c r="Q6" s="26">
        <f>P6</f>
        <v>173</v>
      </c>
      <c r="R6" s="26"/>
      <c r="S6" s="26"/>
      <c r="T6" s="26"/>
      <c r="U6" s="27"/>
      <c r="V6" s="27"/>
      <c r="W6" s="27"/>
      <c r="X6" s="27"/>
      <c r="Y6" s="27"/>
      <c r="Z6" s="256">
        <v>519</v>
      </c>
    </row>
    <row r="7" spans="1:28">
      <c r="A7" s="131" t="s">
        <v>303</v>
      </c>
      <c r="B7" s="42" t="s">
        <v>240</v>
      </c>
      <c r="C7" s="52">
        <v>810</v>
      </c>
      <c r="D7" s="10"/>
      <c r="E7" s="67"/>
      <c r="F7" s="10"/>
      <c r="G7" s="13"/>
      <c r="H7" s="10"/>
      <c r="I7" s="6">
        <f t="shared" ref="I7:I17" si="0">C7+E7+G7</f>
        <v>810</v>
      </c>
      <c r="J7" s="246"/>
      <c r="L7" s="213" t="s">
        <v>241</v>
      </c>
      <c r="M7" s="214" t="s">
        <v>242</v>
      </c>
      <c r="O7" s="29">
        <v>210</v>
      </c>
      <c r="P7" s="30">
        <v>304.5</v>
      </c>
      <c r="Q7" s="30">
        <v>220.1</v>
      </c>
      <c r="R7" s="30"/>
      <c r="S7" s="30"/>
      <c r="T7" s="30"/>
      <c r="U7" s="31"/>
      <c r="V7" s="31"/>
      <c r="W7" s="31"/>
      <c r="X7" s="31"/>
      <c r="Y7" s="31"/>
      <c r="Z7" s="260">
        <f t="shared" ref="Z7" si="1">O7+P7+Q7+R7+S7+T7+Y7+U7+V7+W7+X7</f>
        <v>734.6</v>
      </c>
      <c r="AA7" s="1">
        <f>Z7-Z6</f>
        <v>215.60000000000002</v>
      </c>
      <c r="AB7" s="1" t="s">
        <v>330</v>
      </c>
    </row>
    <row r="8" spans="1:28">
      <c r="A8" s="132" t="s">
        <v>243</v>
      </c>
      <c r="B8" s="39" t="s">
        <v>244</v>
      </c>
      <c r="C8" s="66">
        <f>2957+645+230+320+1559.77+4970+13082.19+670+390</f>
        <v>24823.96</v>
      </c>
      <c r="D8" s="11"/>
      <c r="E8" s="11"/>
      <c r="F8" s="11"/>
      <c r="G8" s="14"/>
      <c r="H8" s="11"/>
      <c r="I8" s="88">
        <f t="shared" si="0"/>
        <v>24823.96</v>
      </c>
      <c r="J8" s="247"/>
      <c r="L8" s="215" t="s">
        <v>245</v>
      </c>
      <c r="M8" s="216">
        <v>13</v>
      </c>
      <c r="Z8" s="133"/>
      <c r="AA8" s="1">
        <f>AA7-159.61</f>
        <v>55.990000000000009</v>
      </c>
      <c r="AB8" t="s">
        <v>331</v>
      </c>
    </row>
    <row r="9" spans="1:28">
      <c r="A9" s="129" t="s">
        <v>246</v>
      </c>
      <c r="B9" s="38" t="s">
        <v>247</v>
      </c>
      <c r="C9" s="159">
        <f>(11526.2+151.91-C13)*1.48</f>
        <v>11659.602800000001</v>
      </c>
      <c r="D9" s="63">
        <f>C9+C10+C11+C13+C12</f>
        <v>24074.598048561602</v>
      </c>
      <c r="E9" s="87"/>
      <c r="F9" s="54">
        <f>E9+E10+E11+E13+E12</f>
        <v>0</v>
      </c>
      <c r="G9" s="61"/>
      <c r="H9" s="63">
        <f>G9+G10+G11+G13+G12</f>
        <v>0</v>
      </c>
      <c r="I9" s="6">
        <f t="shared" si="0"/>
        <v>11659.602800000001</v>
      </c>
      <c r="J9" s="248">
        <f>I9+I10+I11+I13+I12</f>
        <v>24074.598048561602</v>
      </c>
      <c r="L9" s="217" t="s">
        <v>248</v>
      </c>
      <c r="M9" s="218">
        <v>12</v>
      </c>
      <c r="Z9" s="133"/>
      <c r="AA9">
        <f>AA8*25</f>
        <v>1399.7500000000002</v>
      </c>
    </row>
    <row r="10" spans="1:28">
      <c r="A10" s="131" t="s">
        <v>249</v>
      </c>
      <c r="B10" s="42" t="s">
        <v>250</v>
      </c>
      <c r="C10" s="52">
        <f>C9*0.2359</f>
        <v>2750.5003005200001</v>
      </c>
      <c r="D10" s="10"/>
      <c r="E10" s="67">
        <f>E9*0.2359</f>
        <v>0</v>
      </c>
      <c r="F10" s="41"/>
      <c r="G10" s="52">
        <f>G9*0.2359</f>
        <v>0</v>
      </c>
      <c r="H10" s="10"/>
      <c r="I10" s="6">
        <f t="shared" si="0"/>
        <v>2750.5003005200001</v>
      </c>
      <c r="J10" s="247"/>
      <c r="Z10" s="133"/>
    </row>
    <row r="11" spans="1:28">
      <c r="A11" s="131" t="s">
        <v>251</v>
      </c>
      <c r="B11" s="42" t="s">
        <v>252</v>
      </c>
      <c r="C11" s="52">
        <f>(C9+C10)*0.08</f>
        <v>1152.8082480416001</v>
      </c>
      <c r="D11" s="10"/>
      <c r="E11" s="67">
        <f>(E9+E10)*0.08</f>
        <v>0</v>
      </c>
      <c r="F11" s="41"/>
      <c r="G11" s="52">
        <f>(G9+G10)*0.08</f>
        <v>0</v>
      </c>
      <c r="H11" s="10"/>
      <c r="I11" s="6">
        <f t="shared" si="0"/>
        <v>1152.8082480416001</v>
      </c>
      <c r="J11" s="247"/>
      <c r="L11" s="544" t="s">
        <v>253</v>
      </c>
      <c r="M11" s="545"/>
      <c r="Z11" s="133"/>
    </row>
    <row r="12" spans="1:28">
      <c r="A12" s="134" t="s">
        <v>254</v>
      </c>
      <c r="B12" s="44" t="s">
        <v>14</v>
      </c>
      <c r="C12" s="53">
        <f>C4*0.07</f>
        <v>4711.6867000000002</v>
      </c>
      <c r="D12" s="56"/>
      <c r="E12" s="69">
        <f>(E13+E11+E10+E9)*0.07</f>
        <v>0</v>
      </c>
      <c r="F12" s="50"/>
      <c r="G12" s="53">
        <f>G4*0.07</f>
        <v>0</v>
      </c>
      <c r="H12" s="56"/>
      <c r="I12" s="6">
        <f t="shared" si="0"/>
        <v>4711.6867000000002</v>
      </c>
      <c r="J12" s="247"/>
      <c r="L12" s="219" t="s">
        <v>255</v>
      </c>
      <c r="M12" s="220">
        <v>5797.35</v>
      </c>
      <c r="Z12" s="133"/>
    </row>
    <row r="13" spans="1:28">
      <c r="A13" s="131" t="s">
        <v>304</v>
      </c>
      <c r="B13" s="42" t="s">
        <v>257</v>
      </c>
      <c r="C13" s="55">
        <f>(20*3+17*2)*40+40</f>
        <v>3800</v>
      </c>
      <c r="D13" s="57"/>
      <c r="E13" s="81"/>
      <c r="F13" s="51"/>
      <c r="G13" s="62"/>
      <c r="H13" s="57"/>
      <c r="I13" s="88">
        <f t="shared" si="0"/>
        <v>3800</v>
      </c>
      <c r="J13" s="249"/>
      <c r="L13" s="221" t="s">
        <v>258</v>
      </c>
      <c r="M13" s="262">
        <f>I6+I7</f>
        <v>6662.63</v>
      </c>
      <c r="Z13" s="133"/>
    </row>
    <row r="14" spans="1:28">
      <c r="A14" s="135" t="s">
        <v>305</v>
      </c>
      <c r="B14" s="38" t="s">
        <v>260</v>
      </c>
      <c r="C14" s="52">
        <f>1905.12+209</f>
        <v>2114.12</v>
      </c>
      <c r="D14" s="10">
        <f>C14+C17+C15</f>
        <v>3022.62</v>
      </c>
      <c r="E14" s="67"/>
      <c r="F14" s="10">
        <f>E14+E17+E15</f>
        <v>0</v>
      </c>
      <c r="G14" s="13"/>
      <c r="H14" s="10">
        <f>G14+G17+G15</f>
        <v>0</v>
      </c>
      <c r="I14" s="6">
        <f t="shared" si="0"/>
        <v>2114.12</v>
      </c>
      <c r="J14" s="247">
        <f>I14+I17+I15+I16</f>
        <v>3022.62</v>
      </c>
      <c r="Z14" s="133"/>
    </row>
    <row r="15" spans="1:28">
      <c r="A15" s="136" t="s">
        <v>306</v>
      </c>
      <c r="B15" s="42" t="s">
        <v>262</v>
      </c>
      <c r="C15" s="319"/>
      <c r="D15" s="10"/>
      <c r="E15" s="56"/>
      <c r="F15" s="10"/>
      <c r="G15" s="15"/>
      <c r="H15" s="10"/>
      <c r="I15" s="6">
        <f t="shared" si="0"/>
        <v>0</v>
      </c>
      <c r="J15" s="247"/>
      <c r="L15" s="546" t="s">
        <v>263</v>
      </c>
      <c r="M15" s="547"/>
      <c r="Z15" s="133"/>
    </row>
    <row r="16" spans="1:28">
      <c r="A16" s="136" t="s">
        <v>332</v>
      </c>
      <c r="B16" s="42" t="s">
        <v>265</v>
      </c>
      <c r="C16" s="13">
        <f>12.54+188.1+120</f>
        <v>320.64</v>
      </c>
      <c r="D16" s="10"/>
      <c r="E16" s="56"/>
      <c r="F16" s="10"/>
      <c r="G16" s="15"/>
      <c r="H16" s="10"/>
      <c r="I16" s="6"/>
      <c r="J16" s="247"/>
      <c r="L16" s="219" t="s">
        <v>255</v>
      </c>
      <c r="M16" s="220">
        <v>11954.1</v>
      </c>
      <c r="Z16" s="133"/>
    </row>
    <row r="17" spans="1:26">
      <c r="A17" s="131" t="s">
        <v>266</v>
      </c>
      <c r="B17" s="42" t="s">
        <v>267</v>
      </c>
      <c r="C17" s="13">
        <f>125+28+207.14-28+21.69+3.49+7.1+64.5+62.5+9.1+20.49*8+5.49+156.42+46.32+34.68+1.15</f>
        <v>908.5</v>
      </c>
      <c r="D17" s="10"/>
      <c r="E17" s="67"/>
      <c r="F17" s="10"/>
      <c r="G17" s="13"/>
      <c r="H17" s="10"/>
      <c r="I17" s="6">
        <f t="shared" si="0"/>
        <v>908.5</v>
      </c>
      <c r="J17" s="247"/>
      <c r="L17" s="223" t="s">
        <v>258</v>
      </c>
      <c r="M17" s="292">
        <f>I9+I10+I11+I13</f>
        <v>19362.9113485616</v>
      </c>
      <c r="Z17" s="133"/>
    </row>
    <row r="18" spans="1:26">
      <c r="A18" s="250" t="s">
        <v>268</v>
      </c>
      <c r="B18" s="204" t="s">
        <v>269</v>
      </c>
      <c r="C18" s="205">
        <f>C4-C5</f>
        <v>8726.0019514383966</v>
      </c>
      <c r="D18" s="206">
        <f>C18/C4</f>
        <v>0.12963937873897427</v>
      </c>
      <c r="E18" s="207">
        <f>E4-E5</f>
        <v>0</v>
      </c>
      <c r="F18" s="206" t="e">
        <f>E18/E4</f>
        <v>#DIV/0!</v>
      </c>
      <c r="G18" s="205">
        <f>G4-G5</f>
        <v>0</v>
      </c>
      <c r="H18" s="206" t="e">
        <f>G18/G4</f>
        <v>#DIV/0!</v>
      </c>
      <c r="I18" s="208">
        <f>I4-I5</f>
        <v>8726.0019514383966</v>
      </c>
      <c r="J18" s="251">
        <f>I18/I4</f>
        <v>0.12963937873897427</v>
      </c>
      <c r="L18" s="235" t="s">
        <v>46</v>
      </c>
      <c r="M18" s="236">
        <f>M16/(Z6-Q6)</f>
        <v>34.549421965317919</v>
      </c>
      <c r="Z18" s="133"/>
    </row>
    <row r="19" spans="1:26">
      <c r="A19" s="252" t="s">
        <v>270</v>
      </c>
      <c r="B19" s="199" t="s">
        <v>271</v>
      </c>
      <c r="C19" s="200"/>
      <c r="D19" s="201"/>
      <c r="E19" s="202"/>
      <c r="F19" s="201"/>
      <c r="G19" s="200"/>
      <c r="H19" s="201"/>
      <c r="I19" s="203">
        <f>M4+2500-47549.6</f>
        <v>14722.010000000002</v>
      </c>
      <c r="J19" s="253">
        <f>I19/M4</f>
        <v>0.24630439099766599</v>
      </c>
      <c r="L19" s="237" t="s">
        <v>55</v>
      </c>
      <c r="M19" s="238">
        <f>(I9+I10+I11+I13)/Z7</f>
        <v>26.358441803105908</v>
      </c>
      <c r="Z19" s="133"/>
    </row>
    <row r="20" spans="1:26">
      <c r="A20" s="137"/>
      <c r="B20" s="45"/>
      <c r="C20" s="45"/>
      <c r="D20" s="45"/>
      <c r="E20" s="45"/>
      <c r="F20" s="45"/>
      <c r="G20" s="45"/>
      <c r="H20" s="45"/>
      <c r="J20" s="133"/>
      <c r="Z20" s="133"/>
    </row>
    <row r="21" spans="1:26">
      <c r="A21" s="254" t="s">
        <v>279</v>
      </c>
      <c r="B21" s="270" t="s">
        <v>280</v>
      </c>
      <c r="C21" s="196" t="s">
        <v>281</v>
      </c>
      <c r="E21" s="46"/>
      <c r="F21" s="46"/>
      <c r="G21" s="46"/>
      <c r="H21" s="46"/>
      <c r="J21" s="133"/>
      <c r="L21" s="587" t="s">
        <v>282</v>
      </c>
      <c r="M21" s="588"/>
      <c r="Z21" s="133"/>
    </row>
    <row r="22" spans="1:26" ht="15" customHeight="1">
      <c r="A22" s="138" t="s">
        <v>283</v>
      </c>
      <c r="B22" s="242">
        <f>J6/I5</f>
        <v>0.53746233044290959</v>
      </c>
      <c r="C22" s="339">
        <f>5797.35/(47549.6)</f>
        <v>0.12192216128001078</v>
      </c>
      <c r="E22" s="47"/>
      <c r="F22" s="47"/>
      <c r="G22" s="47"/>
      <c r="H22" s="47"/>
      <c r="J22" s="133"/>
      <c r="L22" s="227" t="s">
        <v>255</v>
      </c>
      <c r="M22" s="228">
        <f>Z6/M6</f>
        <v>15.632530120481929</v>
      </c>
      <c r="O22" s="527" t="s">
        <v>272</v>
      </c>
      <c r="P22" s="567"/>
      <c r="Q22" s="567"/>
      <c r="R22" s="567"/>
      <c r="S22" s="567"/>
      <c r="T22" s="567"/>
      <c r="U22" s="567"/>
      <c r="V22" s="567"/>
      <c r="W22" s="567"/>
      <c r="X22" s="567"/>
      <c r="Y22" s="568"/>
      <c r="Z22" s="190"/>
    </row>
    <row r="23" spans="1:26">
      <c r="A23" s="139" t="s">
        <v>263</v>
      </c>
      <c r="B23" s="242">
        <f>J9/I5</f>
        <v>0.4109428671588839</v>
      </c>
      <c r="C23" s="339">
        <f>11954.1/(47549.6)</f>
        <v>0.25140274576442284</v>
      </c>
      <c r="E23" s="47"/>
      <c r="F23" s="47"/>
      <c r="G23" s="47"/>
      <c r="H23" s="47"/>
      <c r="J23" s="133"/>
      <c r="L23" s="229" t="s">
        <v>258</v>
      </c>
      <c r="M23" s="261">
        <f>Z7/M6</f>
        <v>22.12650602409639</v>
      </c>
      <c r="O23" s="100" t="s">
        <v>327</v>
      </c>
      <c r="P23" s="100" t="s">
        <v>328</v>
      </c>
      <c r="Q23" s="100" t="s">
        <v>329</v>
      </c>
      <c r="R23" s="77"/>
      <c r="S23" s="77"/>
      <c r="T23" s="77"/>
      <c r="U23" s="77"/>
      <c r="V23" s="77"/>
      <c r="W23" s="77"/>
      <c r="X23" s="21"/>
      <c r="Y23" s="21"/>
      <c r="Z23" s="542" t="s">
        <v>233</v>
      </c>
    </row>
    <row r="24" spans="1:26">
      <c r="A24" s="140" t="s">
        <v>284</v>
      </c>
      <c r="B24" s="243">
        <f>J14/I5</f>
        <v>5.1594802398206581E-2</v>
      </c>
      <c r="C24" s="240">
        <f>(25323.15+4475)/(47549.6)</f>
        <v>0.62667509295556645</v>
      </c>
      <c r="E24" s="47"/>
      <c r="F24" s="47"/>
      <c r="G24" s="47"/>
      <c r="H24" s="47"/>
      <c r="J24" s="133"/>
      <c r="L24" s="225" t="s">
        <v>285</v>
      </c>
      <c r="M24" s="226">
        <f>M23*M19</f>
        <v>583.22022134221697</v>
      </c>
      <c r="O24" s="32">
        <v>1</v>
      </c>
      <c r="P24" s="32">
        <v>2</v>
      </c>
      <c r="Q24" s="32">
        <v>3</v>
      </c>
      <c r="R24" s="32">
        <v>4</v>
      </c>
      <c r="S24" s="32">
        <v>5</v>
      </c>
      <c r="T24" s="32">
        <v>6</v>
      </c>
      <c r="U24" s="32">
        <v>7</v>
      </c>
      <c r="V24" s="32">
        <v>8</v>
      </c>
      <c r="W24" s="32">
        <v>9</v>
      </c>
      <c r="X24" s="32">
        <v>10</v>
      </c>
      <c r="Y24" s="32">
        <v>11</v>
      </c>
      <c r="Z24" s="543"/>
    </row>
    <row r="25" spans="1:26">
      <c r="A25" s="141"/>
      <c r="J25" s="133"/>
      <c r="O25" s="34">
        <f>Z25/3</f>
        <v>1000</v>
      </c>
      <c r="P25" s="34">
        <f>O25</f>
        <v>1000</v>
      </c>
      <c r="Q25" s="34">
        <f>O25</f>
        <v>1000</v>
      </c>
      <c r="R25" s="34"/>
      <c r="S25" s="34"/>
      <c r="T25" s="34"/>
      <c r="U25" s="34"/>
      <c r="V25" s="34"/>
      <c r="W25" s="34"/>
      <c r="X25" s="34"/>
      <c r="Y25" s="34"/>
      <c r="Z25" s="192">
        <f>M27</f>
        <v>3000</v>
      </c>
    </row>
    <row r="26" spans="1:26">
      <c r="A26" s="141"/>
      <c r="J26" s="133"/>
      <c r="L26" s="546" t="s">
        <v>272</v>
      </c>
      <c r="M26" s="547"/>
      <c r="O26" s="35">
        <v>1905.12</v>
      </c>
      <c r="P26" s="36"/>
      <c r="Q26" s="36">
        <v>209</v>
      </c>
      <c r="R26" s="36"/>
      <c r="S26" s="36"/>
      <c r="T26" s="36"/>
      <c r="U26" s="36"/>
      <c r="V26" s="36"/>
      <c r="W26" s="36"/>
      <c r="X26" s="36"/>
      <c r="Y26" s="36"/>
      <c r="Z26" s="294">
        <f>O26+P26+Q26</f>
        <v>2114.12</v>
      </c>
    </row>
    <row r="27" spans="1:26">
      <c r="A27" s="141"/>
      <c r="J27" s="133"/>
      <c r="L27" s="219" t="s">
        <v>255</v>
      </c>
      <c r="M27" s="220">
        <v>3000</v>
      </c>
      <c r="Z27" s="133"/>
    </row>
    <row r="28" spans="1:26">
      <c r="A28" s="141"/>
      <c r="J28" s="133"/>
      <c r="L28" s="223" t="s">
        <v>258</v>
      </c>
      <c r="M28" s="224">
        <f>Z26</f>
        <v>2114.12</v>
      </c>
      <c r="Z28" s="133"/>
    </row>
    <row r="29" spans="1:26" ht="15" customHeight="1">
      <c r="A29" s="141"/>
      <c r="J29" s="133"/>
      <c r="L29" s="225" t="s">
        <v>286</v>
      </c>
      <c r="M29" s="226">
        <f>(I14+I15)/Z7</f>
        <v>2.8779199564388782</v>
      </c>
      <c r="Z29" s="133"/>
    </row>
    <row r="30" spans="1:26">
      <c r="A30" s="141"/>
      <c r="J30" s="133"/>
      <c r="Z30" s="133"/>
    </row>
    <row r="31" spans="1:26">
      <c r="A31" s="255"/>
      <c r="J31" s="133"/>
      <c r="L31" s="101" t="s">
        <v>287</v>
      </c>
      <c r="M31" s="59"/>
      <c r="Z31" s="133"/>
    </row>
    <row r="32" spans="1:26">
      <c r="A32" s="138"/>
      <c r="B32" s="239"/>
      <c r="J32" s="133"/>
      <c r="L32" s="7" t="s">
        <v>288</v>
      </c>
      <c r="M32" s="59"/>
      <c r="Z32" s="133"/>
    </row>
    <row r="33" spans="1:26">
      <c r="A33" s="139"/>
      <c r="B33" s="239"/>
      <c r="J33" s="133"/>
      <c r="Z33" s="133"/>
    </row>
    <row r="34" spans="1:26">
      <c r="A34" s="139"/>
      <c r="B34" s="239"/>
      <c r="J34" s="133"/>
      <c r="L34" s="581" t="s">
        <v>289</v>
      </c>
      <c r="M34" s="582"/>
      <c r="Z34" s="133"/>
    </row>
    <row r="35" spans="1:26">
      <c r="A35" s="141"/>
      <c r="J35" s="133"/>
      <c r="L35" s="583">
        <v>45757</v>
      </c>
      <c r="M35" s="584"/>
      <c r="Z35" s="133"/>
    </row>
    <row r="36" spans="1:26" ht="15.75" customHeight="1">
      <c r="A36" s="142"/>
      <c r="B36" s="143"/>
      <c r="C36" s="143"/>
      <c r="D36" s="143"/>
      <c r="E36" s="143"/>
      <c r="F36" s="143"/>
      <c r="G36" s="143"/>
      <c r="H36" s="143"/>
      <c r="I36" s="143"/>
      <c r="J36" s="144"/>
      <c r="K36" s="143"/>
      <c r="L36" s="585"/>
      <c r="M36" s="586"/>
      <c r="N36" s="143"/>
      <c r="O36" s="143"/>
      <c r="P36" s="143"/>
      <c r="Q36" s="143"/>
      <c r="R36" s="143"/>
      <c r="S36" s="143"/>
      <c r="T36" s="143"/>
      <c r="U36" s="143"/>
      <c r="V36" s="143"/>
      <c r="W36" s="143"/>
      <c r="X36" s="143"/>
      <c r="Y36" s="143"/>
      <c r="Z36" s="144"/>
    </row>
    <row r="38" spans="1:26">
      <c r="A38">
        <v>30</v>
      </c>
      <c r="B38">
        <f>ROUND(M4*0.3,2)</f>
        <v>17931.48</v>
      </c>
      <c r="C38" s="109"/>
      <c r="D38" s="109"/>
    </row>
    <row r="39" spans="1:26">
      <c r="A39" s="94">
        <v>60</v>
      </c>
      <c r="B39" s="1">
        <f>ROUND(M4*0.6,2)</f>
        <v>35862.97</v>
      </c>
      <c r="D39" s="1"/>
    </row>
    <row r="40" spans="1:26">
      <c r="A40" s="94">
        <v>10</v>
      </c>
      <c r="B40" s="1">
        <f>ROUND(M4*0.1,2)</f>
        <v>5977.16</v>
      </c>
    </row>
    <row r="41" spans="1:26">
      <c r="A41" s="94"/>
      <c r="B41" s="1">
        <f>B38+B39+B40</f>
        <v>59771.61</v>
      </c>
      <c r="D41" s="1"/>
      <c r="K41" s="1"/>
    </row>
    <row r="42" spans="1:26">
      <c r="A42" s="94"/>
      <c r="B42" s="1"/>
      <c r="L42" s="1"/>
    </row>
    <row r="43" spans="1:26">
      <c r="A43" s="94" t="s">
        <v>323</v>
      </c>
      <c r="B43" s="331">
        <f>B44+B45+B46</f>
        <v>0</v>
      </c>
      <c r="C43" s="1"/>
    </row>
    <row r="46" spans="1:26">
      <c r="B46" s="1"/>
    </row>
  </sheetData>
  <mergeCells count="18">
    <mergeCell ref="L34:M34"/>
    <mergeCell ref="L35:M36"/>
    <mergeCell ref="L26:M26"/>
    <mergeCell ref="L15:M15"/>
    <mergeCell ref="L11:M11"/>
    <mergeCell ref="L21:M21"/>
    <mergeCell ref="Z23:Z24"/>
    <mergeCell ref="B1:Z1"/>
    <mergeCell ref="Z4:Z5"/>
    <mergeCell ref="O22:Y22"/>
    <mergeCell ref="A2:J2"/>
    <mergeCell ref="L2:Z2"/>
    <mergeCell ref="C3:D3"/>
    <mergeCell ref="E3:F3"/>
    <mergeCell ref="I3:J3"/>
    <mergeCell ref="L3:M3"/>
    <mergeCell ref="O3:Y3"/>
    <mergeCell ref="G3:H3"/>
  </mergeCells>
  <pageMargins left="0.7" right="0.7" top="0.75" bottom="0.75" header="0.3" footer="0.3"/>
  <pageSetup paperSize="9"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0BE95-2944-4B7F-B014-895612E51D5F}">
  <sheetPr>
    <tabColor rgb="FF92D050"/>
    <pageSetUpPr fitToPage="1"/>
  </sheetPr>
  <dimension ref="A1:AB47"/>
  <sheetViews>
    <sheetView workbookViewId="0">
      <selection activeCell="AE28" sqref="AE28"/>
    </sheetView>
  </sheetViews>
  <sheetFormatPr defaultColWidth="9.140625" defaultRowHeight="15" outlineLevelCol="1"/>
  <cols>
    <col min="1" max="1" width="36.42578125" bestFit="1" customWidth="1"/>
    <col min="2" max="2" width="30.140625" bestFit="1" customWidth="1"/>
    <col min="3" max="3" width="11.5703125" customWidth="1"/>
    <col min="4" max="4" width="10.85546875" customWidth="1"/>
    <col min="5" max="5" width="10.7109375" hidden="1" customWidth="1" outlineLevel="1"/>
    <col min="6" max="6" width="10.140625" hidden="1" customWidth="1" outlineLevel="1"/>
    <col min="7" max="7" width="10.7109375" hidden="1" customWidth="1" outlineLevel="1"/>
    <col min="8" max="8" width="10.140625" hidden="1" customWidth="1" outlineLevel="1"/>
    <col min="9" max="9" width="10.7109375" customWidth="1" collapsed="1"/>
    <col min="10" max="10" width="10.7109375" customWidth="1"/>
    <col min="11" max="11" width="3" customWidth="1"/>
    <col min="12" max="12" width="26.7109375" customWidth="1"/>
    <col min="13" max="13" width="16" customWidth="1"/>
    <col min="14" max="14" width="2.85546875" customWidth="1"/>
    <col min="15" max="16" width="8.140625" customWidth="1"/>
    <col min="17" max="17" width="8.42578125" customWidth="1"/>
    <col min="18" max="25" width="0.85546875" hidden="1" customWidth="1" outlineLevel="1"/>
    <col min="26" max="26" width="9.5703125" customWidth="1" collapsed="1"/>
    <col min="27" max="27" width="12.7109375" customWidth="1"/>
    <col min="29" max="29" width="11.140625" bestFit="1" customWidth="1"/>
  </cols>
  <sheetData>
    <row r="1" spans="1:28" ht="25.5">
      <c r="A1" s="99" t="s">
        <v>333</v>
      </c>
      <c r="B1" s="589" t="s">
        <v>334</v>
      </c>
      <c r="C1" s="589"/>
      <c r="D1" s="589"/>
      <c r="E1" s="589"/>
      <c r="F1" s="589"/>
      <c r="G1" s="589"/>
      <c r="H1" s="589"/>
      <c r="I1" s="589"/>
      <c r="J1" s="589"/>
      <c r="K1" s="589"/>
      <c r="L1" s="589"/>
      <c r="M1" s="589"/>
      <c r="N1" s="589"/>
      <c r="O1" s="589"/>
      <c r="P1" s="589"/>
      <c r="Q1" s="589"/>
      <c r="R1" s="589"/>
      <c r="S1" s="589"/>
      <c r="T1" s="589"/>
      <c r="U1" s="589"/>
      <c r="V1" s="589"/>
      <c r="W1" s="589"/>
      <c r="X1" s="589"/>
      <c r="Y1" s="589"/>
      <c r="Z1" s="589"/>
    </row>
    <row r="2" spans="1:28" ht="18.75">
      <c r="A2" s="530" t="s">
        <v>224</v>
      </c>
      <c r="B2" s="531"/>
      <c r="C2" s="531"/>
      <c r="D2" s="531"/>
      <c r="E2" s="531"/>
      <c r="F2" s="531"/>
      <c r="G2" s="531"/>
      <c r="H2" s="531"/>
      <c r="I2" s="531"/>
      <c r="J2" s="577"/>
      <c r="K2" s="532"/>
      <c r="L2" s="532"/>
      <c r="M2" s="532"/>
      <c r="N2" s="532"/>
      <c r="O2" s="532"/>
      <c r="P2" s="532"/>
      <c r="Q2" s="532"/>
      <c r="R2" s="532"/>
      <c r="S2" s="532"/>
      <c r="T2" s="532"/>
      <c r="U2" s="532"/>
      <c r="V2" s="532"/>
      <c r="W2" s="532"/>
      <c r="X2" s="532"/>
      <c r="Y2" s="532"/>
      <c r="Z2" s="533"/>
    </row>
    <row r="3" spans="1:28">
      <c r="A3" s="141"/>
      <c r="C3" s="534">
        <v>45712</v>
      </c>
      <c r="D3" s="578"/>
      <c r="E3" s="579">
        <v>45740</v>
      </c>
      <c r="F3" s="535"/>
      <c r="G3" s="534">
        <v>45771</v>
      </c>
      <c r="H3" s="535"/>
      <c r="I3" s="571" t="s">
        <v>227</v>
      </c>
      <c r="J3" s="580"/>
      <c r="K3" s="48"/>
      <c r="L3" s="538" t="s">
        <v>228</v>
      </c>
      <c r="M3" s="539"/>
      <c r="N3" s="48"/>
      <c r="O3" s="553" t="s">
        <v>10</v>
      </c>
      <c r="P3" s="528"/>
      <c r="Q3" s="528"/>
      <c r="R3" s="528"/>
      <c r="S3" s="528"/>
      <c r="T3" s="528"/>
      <c r="U3" s="528"/>
      <c r="V3" s="528"/>
      <c r="W3" s="528"/>
      <c r="X3" s="528"/>
      <c r="Y3" s="529"/>
      <c r="Z3" s="190"/>
    </row>
    <row r="4" spans="1:28">
      <c r="A4" s="128" t="s">
        <v>229</v>
      </c>
      <c r="B4" s="108" t="s">
        <v>230</v>
      </c>
      <c r="C4" s="40">
        <f>M4+M5</f>
        <v>46000</v>
      </c>
      <c r="D4" s="71"/>
      <c r="E4" s="187"/>
      <c r="F4" s="60"/>
      <c r="G4" s="12">
        <f>M11</f>
        <v>0</v>
      </c>
      <c r="H4" s="60"/>
      <c r="I4" s="58">
        <f>C4</f>
        <v>46000</v>
      </c>
      <c r="J4" s="295"/>
      <c r="K4" s="48"/>
      <c r="L4" s="209" t="s">
        <v>28</v>
      </c>
      <c r="M4" s="210">
        <f>68401.75-22401.75</f>
        <v>46000</v>
      </c>
      <c r="N4" s="48"/>
      <c r="O4" s="100" t="s">
        <v>335</v>
      </c>
      <c r="P4" s="100" t="s">
        <v>336</v>
      </c>
      <c r="Q4" s="100" t="s">
        <v>337</v>
      </c>
      <c r="R4" s="77"/>
      <c r="S4" s="77"/>
      <c r="T4" s="77"/>
      <c r="U4" s="77"/>
      <c r="V4" s="77"/>
      <c r="W4" s="22"/>
      <c r="X4" s="22"/>
      <c r="Y4" s="22"/>
      <c r="Z4" s="574" t="s">
        <v>233</v>
      </c>
    </row>
    <row r="5" spans="1:28">
      <c r="A5" s="128" t="s">
        <v>234</v>
      </c>
      <c r="B5" s="103" t="s">
        <v>235</v>
      </c>
      <c r="C5" s="323">
        <f>C6+C7+C8+C9+C10+C11+C14+C15+C18+C16+C12+C17</f>
        <v>34495.82369016001</v>
      </c>
      <c r="D5" s="324"/>
      <c r="E5" s="323">
        <f>E6+E7+E8+E9+E10+E11+E14+E15+E18+E16+E12</f>
        <v>0</v>
      </c>
      <c r="F5" s="324"/>
      <c r="G5" s="325">
        <f>G6+G7+G8+G9+G10+G11+G14+G15+G18+G16+G12</f>
        <v>0</v>
      </c>
      <c r="H5" s="324"/>
      <c r="I5" s="326">
        <f>I6+I7+I8+I9+I10+I11+I14+I15+I18+I16+I12+I19+I17</f>
        <v>34495.82369016001</v>
      </c>
      <c r="J5" s="327"/>
      <c r="L5" s="258" t="s">
        <v>32</v>
      </c>
      <c r="M5" s="259">
        <f>-AB5</f>
        <v>0</v>
      </c>
      <c r="O5" s="37">
        <v>1</v>
      </c>
      <c r="P5" s="37">
        <v>2</v>
      </c>
      <c r="Q5" s="37">
        <v>3</v>
      </c>
      <c r="R5" s="37">
        <v>4</v>
      </c>
      <c r="S5" s="37">
        <v>5</v>
      </c>
      <c r="T5" s="37">
        <v>6</v>
      </c>
      <c r="U5" s="24">
        <v>7</v>
      </c>
      <c r="V5" s="24">
        <v>8</v>
      </c>
      <c r="W5" s="24">
        <v>9</v>
      </c>
      <c r="X5" s="24">
        <v>10</v>
      </c>
      <c r="Y5" s="24">
        <v>11</v>
      </c>
      <c r="Z5" s="575"/>
      <c r="AB5" s="1"/>
    </row>
    <row r="6" spans="1:28">
      <c r="A6" s="129" t="s">
        <v>302</v>
      </c>
      <c r="B6" s="42" t="s">
        <v>237</v>
      </c>
      <c r="C6" s="52">
        <f>C40+215.65+40.4+1897.38+215.82+310.83+35+1661.82+159.19+130.92+19.99+50.16+81.93+5.49+98.4+12+119+351.5+280+17.99+43+31+31.25+1.93+4.6+5.35+44.95+38.27</f>
        <v>5903.8200000000006</v>
      </c>
      <c r="D6" s="67">
        <f>C6+C7+C8</f>
        <v>8321.7400000000016</v>
      </c>
      <c r="E6" s="69"/>
      <c r="F6" s="67">
        <f>E6+E7+E8</f>
        <v>0</v>
      </c>
      <c r="G6" s="53"/>
      <c r="H6" s="67">
        <f>G6+G7+G8</f>
        <v>0</v>
      </c>
      <c r="I6" s="6">
        <f>C6+E6+G6</f>
        <v>5903.8200000000006</v>
      </c>
      <c r="J6" s="246">
        <f>I6+I7+I8</f>
        <v>8321.7400000000016</v>
      </c>
      <c r="L6" s="211" t="s">
        <v>238</v>
      </c>
      <c r="M6" s="212">
        <f>55+5.49</f>
        <v>60.49</v>
      </c>
      <c r="O6" s="26">
        <f>Z6/3</f>
        <v>202</v>
      </c>
      <c r="P6" s="26">
        <f>O6</f>
        <v>202</v>
      </c>
      <c r="Q6" s="26">
        <f>P6</f>
        <v>202</v>
      </c>
      <c r="R6" s="26"/>
      <c r="S6" s="26"/>
      <c r="T6" s="26"/>
      <c r="U6" s="27"/>
      <c r="V6" s="27"/>
      <c r="W6" s="27"/>
      <c r="X6" s="27"/>
      <c r="Y6" s="27"/>
      <c r="Z6" s="256">
        <v>606</v>
      </c>
      <c r="AB6" s="1"/>
    </row>
    <row r="7" spans="1:28">
      <c r="A7" s="131" t="s">
        <v>303</v>
      </c>
      <c r="B7" s="42" t="s">
        <v>240</v>
      </c>
      <c r="C7" s="52">
        <f>980+250</f>
        <v>1230</v>
      </c>
      <c r="D7" s="10"/>
      <c r="E7" s="10"/>
      <c r="F7" s="10"/>
      <c r="G7" s="13"/>
      <c r="H7" s="10"/>
      <c r="I7" s="6">
        <f t="shared" ref="I7:I18" si="0">C7+E7+G7</f>
        <v>1230</v>
      </c>
      <c r="J7" s="246"/>
      <c r="L7" s="213" t="s">
        <v>241</v>
      </c>
      <c r="M7" s="214" t="s">
        <v>242</v>
      </c>
      <c r="O7" s="83">
        <v>269.43</v>
      </c>
      <c r="P7" s="30">
        <v>243.6</v>
      </c>
      <c r="Q7" s="30">
        <v>208.55</v>
      </c>
      <c r="R7" s="30"/>
      <c r="S7" s="30"/>
      <c r="T7" s="30"/>
      <c r="U7" s="31"/>
      <c r="V7" s="31"/>
      <c r="W7" s="31"/>
      <c r="X7" s="31"/>
      <c r="Y7" s="31"/>
      <c r="Z7" s="293">
        <f>O7+P7+Q7+R7+S7+T7+U7+V7+W7</f>
        <v>721.57999999999993</v>
      </c>
      <c r="AA7" s="1"/>
      <c r="AB7" s="1"/>
    </row>
    <row r="8" spans="1:28">
      <c r="A8" s="132" t="s">
        <v>243</v>
      </c>
      <c r="B8" s="39" t="s">
        <v>244</v>
      </c>
      <c r="C8" s="66">
        <f>326.08+553.84+308</f>
        <v>1187.92</v>
      </c>
      <c r="D8" s="11"/>
      <c r="E8" s="11"/>
      <c r="F8" s="11"/>
      <c r="G8" s="14"/>
      <c r="H8" s="11"/>
      <c r="I8" s="88">
        <f t="shared" si="0"/>
        <v>1187.92</v>
      </c>
      <c r="J8" s="247"/>
      <c r="L8" s="215" t="s">
        <v>245</v>
      </c>
      <c r="M8" s="216">
        <v>13</v>
      </c>
      <c r="Z8" s="133"/>
    </row>
    <row r="9" spans="1:28">
      <c r="A9" s="129" t="s">
        <v>246</v>
      </c>
      <c r="B9" s="38" t="s">
        <v>247</v>
      </c>
      <c r="C9" s="73">
        <f>9594.78</f>
        <v>9594.7800000000007</v>
      </c>
      <c r="D9" s="63">
        <f>C9+C10+C11+C14+C12+C13</f>
        <v>22655.45369016</v>
      </c>
      <c r="E9" s="70"/>
      <c r="F9" s="54">
        <f>E9+E10+E11+E14+E12</f>
        <v>0</v>
      </c>
      <c r="G9" s="61"/>
      <c r="H9" s="3">
        <f>G9+G10+G11+G14+G12</f>
        <v>0</v>
      </c>
      <c r="I9" s="84">
        <f t="shared" si="0"/>
        <v>9594.7800000000007</v>
      </c>
      <c r="J9" s="248">
        <f>I9+I10+I11+I14+I12+I13</f>
        <v>22655.45369016</v>
      </c>
      <c r="L9" s="217" t="s">
        <v>248</v>
      </c>
      <c r="M9" s="218">
        <v>12</v>
      </c>
      <c r="Z9" s="133"/>
    </row>
    <row r="10" spans="1:28">
      <c r="A10" s="131" t="s">
        <v>249</v>
      </c>
      <c r="B10" s="42" t="s">
        <v>250</v>
      </c>
      <c r="C10" s="52">
        <f>C9*0.2359</f>
        <v>2263.408602</v>
      </c>
      <c r="D10" s="10"/>
      <c r="E10" s="67">
        <f>E9*0.2359</f>
        <v>0</v>
      </c>
      <c r="F10" s="41"/>
      <c r="G10" s="52">
        <f>G9*0.2359</f>
        <v>0</v>
      </c>
      <c r="H10" s="41"/>
      <c r="I10" s="84">
        <f t="shared" si="0"/>
        <v>2263.408602</v>
      </c>
      <c r="J10" s="247"/>
      <c r="Z10" s="133"/>
    </row>
    <row r="11" spans="1:28">
      <c r="A11" s="131" t="s">
        <v>251</v>
      </c>
      <c r="B11" s="42" t="s">
        <v>252</v>
      </c>
      <c r="C11" s="52">
        <f>(C9+C10)*0.08</f>
        <v>948.65508815999999</v>
      </c>
      <c r="D11" s="10"/>
      <c r="E11" s="67">
        <f>(E9+E10)*0.08</f>
        <v>0</v>
      </c>
      <c r="F11" s="41"/>
      <c r="G11" s="52">
        <f>(G9+G10)*0.08</f>
        <v>0</v>
      </c>
      <c r="H11" s="41"/>
      <c r="I11" s="84">
        <f t="shared" si="0"/>
        <v>948.65508815999999</v>
      </c>
      <c r="J11" s="247"/>
      <c r="L11" s="544" t="s">
        <v>253</v>
      </c>
      <c r="M11" s="545"/>
      <c r="Z11" s="133"/>
    </row>
    <row r="12" spans="1:28">
      <c r="A12" s="134" t="s">
        <v>254</v>
      </c>
      <c r="B12" s="44" t="s">
        <v>14</v>
      </c>
      <c r="C12" s="53">
        <f>(C4)*0.07</f>
        <v>3220.0000000000005</v>
      </c>
      <c r="D12" s="56"/>
      <c r="E12" s="69">
        <f>(E14+E11+E10+E9)*0.07</f>
        <v>0</v>
      </c>
      <c r="F12" s="50"/>
      <c r="G12" s="53">
        <f>(G14+G11+G10+G9)*0.07</f>
        <v>0</v>
      </c>
      <c r="H12" s="50"/>
      <c r="I12" s="84">
        <f t="shared" si="0"/>
        <v>3220.0000000000005</v>
      </c>
      <c r="J12" s="247"/>
      <c r="L12" s="219" t="s">
        <v>255</v>
      </c>
      <c r="M12" s="220">
        <v>8247.34</v>
      </c>
      <c r="Z12" s="133"/>
    </row>
    <row r="13" spans="1:28">
      <c r="A13" s="134" t="s">
        <v>338</v>
      </c>
      <c r="B13" s="44"/>
      <c r="C13" s="53">
        <v>1578.61</v>
      </c>
      <c r="D13" s="56"/>
      <c r="E13" s="69"/>
      <c r="F13" s="50"/>
      <c r="G13" s="53"/>
      <c r="H13" s="50"/>
      <c r="I13" s="84">
        <f t="shared" si="0"/>
        <v>1578.61</v>
      </c>
      <c r="J13" s="247"/>
      <c r="L13" s="221" t="s">
        <v>258</v>
      </c>
      <c r="M13" s="222">
        <f>J6</f>
        <v>8321.7400000000016</v>
      </c>
      <c r="Z13" s="133"/>
    </row>
    <row r="14" spans="1:28">
      <c r="A14" s="131" t="s">
        <v>304</v>
      </c>
      <c r="B14" s="42" t="s">
        <v>257</v>
      </c>
      <c r="C14" s="55">
        <f>4800+250</f>
        <v>5050</v>
      </c>
      <c r="D14" s="57"/>
      <c r="E14" s="81"/>
      <c r="F14" s="51"/>
      <c r="G14" s="62"/>
      <c r="H14" s="51"/>
      <c r="I14" s="86">
        <f t="shared" si="0"/>
        <v>5050</v>
      </c>
      <c r="J14" s="249"/>
      <c r="Z14" s="133"/>
    </row>
    <row r="15" spans="1:28">
      <c r="A15" s="135" t="s">
        <v>305</v>
      </c>
      <c r="B15" s="38" t="s">
        <v>260</v>
      </c>
      <c r="C15" s="53">
        <f>2660+171</f>
        <v>2831</v>
      </c>
      <c r="D15" s="10">
        <f>C15+C18+C16+C17</f>
        <v>5097.24</v>
      </c>
      <c r="E15" s="10"/>
      <c r="F15" s="67">
        <f>E15+E18+E16</f>
        <v>0</v>
      </c>
      <c r="G15" s="13"/>
      <c r="H15" s="10">
        <f>G15+G18+G16</f>
        <v>0</v>
      </c>
      <c r="I15" s="6">
        <f t="shared" si="0"/>
        <v>2831</v>
      </c>
      <c r="J15" s="247">
        <f>I15+I18+I16+I19+I17</f>
        <v>5097.24</v>
      </c>
      <c r="Z15" s="133"/>
    </row>
    <row r="16" spans="1:28">
      <c r="A16" s="136" t="s">
        <v>306</v>
      </c>
      <c r="B16" s="42" t="s">
        <v>262</v>
      </c>
      <c r="C16" s="13">
        <f>953.8+305.17+91.55</f>
        <v>1350.52</v>
      </c>
      <c r="D16" s="10"/>
      <c r="E16" s="69"/>
      <c r="F16" s="10"/>
      <c r="G16" s="15"/>
      <c r="H16" s="10"/>
      <c r="I16" s="6">
        <f t="shared" si="0"/>
        <v>1350.52</v>
      </c>
      <c r="J16" s="247"/>
      <c r="L16" s="546" t="s">
        <v>263</v>
      </c>
      <c r="M16" s="547"/>
      <c r="Z16" s="133"/>
    </row>
    <row r="17" spans="1:26">
      <c r="A17" s="136" t="s">
        <v>264</v>
      </c>
      <c r="B17" s="42" t="s">
        <v>265</v>
      </c>
      <c r="C17" s="13"/>
      <c r="D17" s="10"/>
      <c r="E17" s="69"/>
      <c r="F17" s="10"/>
      <c r="G17" s="15"/>
      <c r="H17" s="10"/>
      <c r="I17" s="6">
        <f>C17</f>
        <v>0</v>
      </c>
      <c r="J17" s="247"/>
      <c r="L17" s="219" t="s">
        <v>255</v>
      </c>
      <c r="M17" s="220">
        <v>17538.71</v>
      </c>
      <c r="Z17" s="133"/>
    </row>
    <row r="18" spans="1:26">
      <c r="A18" s="131" t="s">
        <v>266</v>
      </c>
      <c r="B18" s="42" t="s">
        <v>267</v>
      </c>
      <c r="C18" s="13">
        <f>214.02+125+8+34.99+15+20+111.8+21.55+7+25+30+14.98+196.5+91.88</f>
        <v>915.71999999999991</v>
      </c>
      <c r="D18" s="10"/>
      <c r="E18" s="10"/>
      <c r="F18" s="10"/>
      <c r="G18" s="13"/>
      <c r="H18" s="10"/>
      <c r="I18" s="6">
        <f t="shared" si="0"/>
        <v>915.71999999999991</v>
      </c>
      <c r="J18" s="247"/>
      <c r="L18" s="223" t="s">
        <v>258</v>
      </c>
      <c r="M18" s="292">
        <f>I9+I10+I11+I14+I13</f>
        <v>19435.45369016</v>
      </c>
      <c r="Z18" s="133"/>
    </row>
    <row r="19" spans="1:26">
      <c r="A19" s="131"/>
      <c r="B19" s="42"/>
      <c r="C19" s="13"/>
      <c r="D19" s="10"/>
      <c r="E19" s="10"/>
      <c r="F19" s="10"/>
      <c r="G19" s="13"/>
      <c r="H19" s="10"/>
      <c r="I19" s="6"/>
      <c r="J19" s="247"/>
      <c r="L19" s="235" t="s">
        <v>46</v>
      </c>
      <c r="M19" s="236">
        <f>M17/(Z6-70)</f>
        <v>32.72147388059701</v>
      </c>
      <c r="Z19" s="133"/>
    </row>
    <row r="20" spans="1:26">
      <c r="A20" s="250" t="s">
        <v>268</v>
      </c>
      <c r="B20" s="204" t="s">
        <v>269</v>
      </c>
      <c r="C20" s="205">
        <f>C4-C5</f>
        <v>11504.17630983999</v>
      </c>
      <c r="D20" s="264">
        <f>C20/C4</f>
        <v>0.25009078934434759</v>
      </c>
      <c r="E20" s="205">
        <f>E4-E5</f>
        <v>0</v>
      </c>
      <c r="F20" s="206" t="e">
        <f>E20/E4</f>
        <v>#DIV/0!</v>
      </c>
      <c r="G20" s="205">
        <f>G4-G5</f>
        <v>0</v>
      </c>
      <c r="H20" s="206" t="e">
        <f>G20/G4</f>
        <v>#DIV/0!</v>
      </c>
      <c r="I20" s="208">
        <f>I4-I5</f>
        <v>11504.17630983999</v>
      </c>
      <c r="J20" s="251">
        <f>I20/I4</f>
        <v>0.25009078934434759</v>
      </c>
      <c r="L20" s="237" t="s">
        <v>55</v>
      </c>
      <c r="M20" s="238">
        <f>M18/Z7</f>
        <v>26.934579242994545</v>
      </c>
      <c r="Z20" s="133"/>
    </row>
    <row r="21" spans="1:26">
      <c r="A21" s="252" t="s">
        <v>270</v>
      </c>
      <c r="B21" s="199" t="s">
        <v>271</v>
      </c>
      <c r="C21" s="199"/>
      <c r="D21" s="199"/>
      <c r="E21" s="199"/>
      <c r="F21" s="199"/>
      <c r="G21" s="199"/>
      <c r="H21" s="199"/>
      <c r="I21" s="316">
        <f>M4-52616.81+12950</f>
        <v>6333.1900000000023</v>
      </c>
      <c r="J21" s="296">
        <f>I21/M4</f>
        <v>0.13767804347826093</v>
      </c>
      <c r="O21" s="553" t="s">
        <v>272</v>
      </c>
      <c r="P21" s="528"/>
      <c r="Q21" s="528"/>
      <c r="R21" s="528"/>
      <c r="S21" s="528"/>
      <c r="T21" s="528"/>
      <c r="U21" s="528"/>
      <c r="V21" s="528"/>
      <c r="W21" s="528"/>
      <c r="X21" s="528"/>
      <c r="Y21" s="529"/>
      <c r="Z21" s="190"/>
    </row>
    <row r="22" spans="1:26">
      <c r="A22" s="141"/>
      <c r="D22" s="46"/>
      <c r="E22" s="46"/>
      <c r="F22" s="46"/>
      <c r="G22" s="46"/>
      <c r="H22" s="46"/>
      <c r="J22" s="133"/>
      <c r="L22" s="587" t="s">
        <v>282</v>
      </c>
      <c r="M22" s="588"/>
      <c r="O22" s="100" t="s">
        <v>335</v>
      </c>
      <c r="P22" s="100" t="s">
        <v>336</v>
      </c>
      <c r="Q22" s="100" t="s">
        <v>337</v>
      </c>
      <c r="R22" s="77"/>
      <c r="S22" s="77"/>
      <c r="T22" s="77"/>
      <c r="U22" s="77"/>
      <c r="V22" s="77"/>
      <c r="W22" s="21"/>
      <c r="X22" s="21"/>
      <c r="Y22" s="21"/>
      <c r="Z22" s="542" t="s">
        <v>233</v>
      </c>
    </row>
    <row r="23" spans="1:26" ht="27.75">
      <c r="A23" s="254" t="s">
        <v>279</v>
      </c>
      <c r="B23" s="290" t="s">
        <v>280</v>
      </c>
      <c r="C23" s="289" t="s">
        <v>281</v>
      </c>
      <c r="D23" s="47"/>
      <c r="E23" s="47"/>
      <c r="F23" s="47"/>
      <c r="G23" s="47"/>
      <c r="H23" s="47"/>
      <c r="J23" s="133"/>
      <c r="L23" s="227" t="s">
        <v>255</v>
      </c>
      <c r="M23" s="228">
        <f>(Z6-70)/M6</f>
        <v>8.8609687551661427</v>
      </c>
      <c r="O23" s="32">
        <v>1</v>
      </c>
      <c r="P23" s="32">
        <v>2</v>
      </c>
      <c r="Q23" s="32">
        <v>3</v>
      </c>
      <c r="R23" s="32">
        <v>4</v>
      </c>
      <c r="S23" s="32">
        <v>5</v>
      </c>
      <c r="T23" s="32">
        <v>6</v>
      </c>
      <c r="U23" s="32">
        <v>7</v>
      </c>
      <c r="V23" s="32">
        <v>8</v>
      </c>
      <c r="W23" s="32">
        <v>9</v>
      </c>
      <c r="X23" s="32">
        <v>10</v>
      </c>
      <c r="Y23" s="32">
        <v>11</v>
      </c>
      <c r="Z23" s="543"/>
    </row>
    <row r="24" spans="1:26">
      <c r="A24" s="138" t="s">
        <v>283</v>
      </c>
      <c r="B24" s="271">
        <f>J6/I5</f>
        <v>0.24123905765363102</v>
      </c>
      <c r="C24" s="268">
        <f>8247.34/39666.81</f>
        <v>0.2079153831629012</v>
      </c>
      <c r="D24" s="47"/>
      <c r="E24" s="47"/>
      <c r="F24" s="47"/>
      <c r="G24" s="47"/>
      <c r="H24" s="47"/>
      <c r="J24" s="133"/>
      <c r="L24" s="229" t="s">
        <v>258</v>
      </c>
      <c r="M24" s="261">
        <f>Z7/M6</f>
        <v>11.928913870061166</v>
      </c>
      <c r="O24" s="34">
        <f>Z24/3</f>
        <v>1400</v>
      </c>
      <c r="P24" s="34">
        <f>O24</f>
        <v>1400</v>
      </c>
      <c r="Q24" s="34">
        <f>P24</f>
        <v>1400</v>
      </c>
      <c r="R24" s="34"/>
      <c r="S24" s="34"/>
      <c r="T24" s="34"/>
      <c r="U24" s="34"/>
      <c r="V24" s="34"/>
      <c r="W24" s="34"/>
      <c r="X24" s="34"/>
      <c r="Y24" s="34"/>
      <c r="Z24" s="192">
        <f>M28</f>
        <v>4200</v>
      </c>
    </row>
    <row r="25" spans="1:26">
      <c r="A25" s="139" t="s">
        <v>263</v>
      </c>
      <c r="B25" s="271">
        <f>J9/I5</f>
        <v>0.65675931943676147</v>
      </c>
      <c r="C25" s="268">
        <f>17538.71/39666.81</f>
        <v>0.44215075525357345</v>
      </c>
      <c r="D25" s="47"/>
      <c r="E25" s="47"/>
      <c r="F25" s="47"/>
      <c r="G25" s="47"/>
      <c r="H25" s="47"/>
      <c r="J25" s="133"/>
      <c r="L25" s="225" t="s">
        <v>285</v>
      </c>
      <c r="M25" s="226">
        <f>M24*M20</f>
        <v>321.30027591601919</v>
      </c>
      <c r="O25" s="35">
        <f>2660+953.8</f>
        <v>3613.8</v>
      </c>
      <c r="P25" s="36">
        <v>305.17</v>
      </c>
      <c r="Q25" s="36">
        <f>171+91.55</f>
        <v>262.55</v>
      </c>
      <c r="R25" s="36"/>
      <c r="S25" s="36"/>
      <c r="T25" s="36"/>
      <c r="U25" s="36"/>
      <c r="V25" s="36"/>
      <c r="W25" s="36"/>
      <c r="X25" s="36"/>
      <c r="Y25" s="36"/>
      <c r="Z25" s="294">
        <f>Q25+P25+O25</f>
        <v>4181.5200000000004</v>
      </c>
    </row>
    <row r="26" spans="1:26">
      <c r="A26" s="140" t="s">
        <v>284</v>
      </c>
      <c r="B26" s="272">
        <f>J15/I5</f>
        <v>0.14776397414896331</v>
      </c>
      <c r="C26" s="269">
        <f>(26795.96-12950)/39666.81</f>
        <v>0.34905655382925926</v>
      </c>
      <c r="J26" s="133"/>
      <c r="Z26" s="133"/>
    </row>
    <row r="27" spans="1:26">
      <c r="A27" s="141"/>
      <c r="J27" s="133"/>
      <c r="L27" s="546" t="s">
        <v>272</v>
      </c>
      <c r="M27" s="547"/>
      <c r="Z27" s="133"/>
    </row>
    <row r="28" spans="1:26">
      <c r="A28" s="141"/>
      <c r="J28" s="133"/>
      <c r="L28" s="219" t="s">
        <v>255</v>
      </c>
      <c r="M28" s="220">
        <v>4200</v>
      </c>
      <c r="Z28" s="133"/>
    </row>
    <row r="29" spans="1:26" ht="27.75" customHeight="1">
      <c r="A29" s="141"/>
      <c r="J29" s="133"/>
      <c r="L29" s="223" t="s">
        <v>258</v>
      </c>
      <c r="M29" s="224">
        <f>Z25</f>
        <v>4181.5200000000004</v>
      </c>
      <c r="Z29" s="133"/>
    </row>
    <row r="30" spans="1:26">
      <c r="A30" s="141"/>
      <c r="J30" s="133"/>
      <c r="L30" s="225" t="s">
        <v>286</v>
      </c>
      <c r="M30" s="226">
        <f>M29/Z7</f>
        <v>5.794949970897199</v>
      </c>
      <c r="Z30" s="133"/>
    </row>
    <row r="31" spans="1:26">
      <c r="A31" s="141"/>
      <c r="J31" s="133"/>
      <c r="Z31" s="133"/>
    </row>
    <row r="32" spans="1:26">
      <c r="A32" s="141"/>
      <c r="J32" s="133"/>
      <c r="L32" s="101" t="s">
        <v>287</v>
      </c>
      <c r="M32" s="59"/>
      <c r="Z32" s="133"/>
    </row>
    <row r="33" spans="1:26" ht="26.25" customHeight="1">
      <c r="A33" s="141"/>
      <c r="J33" s="133"/>
      <c r="L33" s="7" t="s">
        <v>288</v>
      </c>
      <c r="M33" s="59"/>
      <c r="Z33" s="133"/>
    </row>
    <row r="34" spans="1:26" ht="15" customHeight="1">
      <c r="A34" s="141"/>
      <c r="J34" s="133"/>
      <c r="Z34" s="133"/>
    </row>
    <row r="35" spans="1:26">
      <c r="A35" s="141"/>
      <c r="J35" s="133"/>
      <c r="L35" s="590" t="s">
        <v>289</v>
      </c>
      <c r="M35" s="590"/>
      <c r="Z35" s="133"/>
    </row>
    <row r="36" spans="1:26">
      <c r="A36" s="141"/>
      <c r="J36" s="133"/>
      <c r="L36" s="583">
        <v>45748</v>
      </c>
      <c r="M36" s="584"/>
      <c r="Z36" s="133"/>
    </row>
    <row r="37" spans="1:26">
      <c r="A37" s="142"/>
      <c r="B37" s="143"/>
      <c r="C37" s="143"/>
      <c r="D37" s="143"/>
      <c r="E37" s="143"/>
      <c r="F37" s="143"/>
      <c r="G37" s="143"/>
      <c r="H37" s="143"/>
      <c r="I37" s="143"/>
      <c r="J37" s="144"/>
      <c r="K37" s="143"/>
      <c r="L37" s="585"/>
      <c r="M37" s="586"/>
      <c r="N37" s="143"/>
      <c r="O37" s="143"/>
      <c r="P37" s="143"/>
      <c r="Q37" s="143"/>
      <c r="R37" s="143"/>
      <c r="S37" s="143"/>
      <c r="T37" s="143"/>
      <c r="U37" s="143"/>
      <c r="V37" s="143"/>
      <c r="W37" s="143"/>
      <c r="X37" s="143"/>
      <c r="Y37" s="143"/>
      <c r="Z37" s="144"/>
    </row>
    <row r="38" spans="1:26">
      <c r="L38" s="297"/>
      <c r="M38" s="297"/>
    </row>
    <row r="39" spans="1:26">
      <c r="B39" s="43"/>
      <c r="C39" s="337"/>
      <c r="D39" s="109"/>
    </row>
    <row r="40" spans="1:26">
      <c r="A40" t="s">
        <v>323</v>
      </c>
      <c r="B40" s="330">
        <f>B41</f>
        <v>0</v>
      </c>
      <c r="C40" s="43"/>
      <c r="D40" s="1"/>
    </row>
    <row r="41" spans="1:26">
      <c r="B41" s="43"/>
      <c r="C41" s="43"/>
    </row>
    <row r="42" spans="1:26">
      <c r="A42" s="94"/>
      <c r="B42" s="338"/>
      <c r="C42" s="43"/>
      <c r="D42" s="1"/>
    </row>
    <row r="43" spans="1:26">
      <c r="A43" s="94"/>
      <c r="B43" s="317"/>
      <c r="C43" s="43"/>
    </row>
    <row r="44" spans="1:26">
      <c r="B44" s="43"/>
      <c r="C44" s="43"/>
    </row>
    <row r="45" spans="1:26">
      <c r="B45" s="1"/>
      <c r="C45" s="1"/>
    </row>
    <row r="47" spans="1:26">
      <c r="B47" s="49"/>
    </row>
  </sheetData>
  <mergeCells count="18">
    <mergeCell ref="L35:M35"/>
    <mergeCell ref="L3:M3"/>
    <mergeCell ref="O3:Y3"/>
    <mergeCell ref="O21:Y21"/>
    <mergeCell ref="L36:M37"/>
    <mergeCell ref="L27:M27"/>
    <mergeCell ref="B1:Z1"/>
    <mergeCell ref="Z22:Z23"/>
    <mergeCell ref="Z4:Z5"/>
    <mergeCell ref="G3:H3"/>
    <mergeCell ref="L11:M11"/>
    <mergeCell ref="L16:M16"/>
    <mergeCell ref="L22:M22"/>
    <mergeCell ref="A2:J2"/>
    <mergeCell ref="C3:D3"/>
    <mergeCell ref="E3:F3"/>
    <mergeCell ref="I3:J3"/>
    <mergeCell ref="K2:Z2"/>
  </mergeCells>
  <pageMargins left="0.7" right="0.7" top="0.75" bottom="0.75" header="0.3" footer="0.3"/>
  <pageSetup paperSize="9"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A9F0AD-4821-4D34-BE99-A6AE902DF084}">
  <dimension ref="A1:H23"/>
  <sheetViews>
    <sheetView workbookViewId="0"/>
  </sheetViews>
  <sheetFormatPr defaultRowHeight="15"/>
  <cols>
    <col min="1" max="1" width="3" bestFit="1" customWidth="1"/>
    <col min="2" max="2" width="18" bestFit="1" customWidth="1"/>
    <col min="3" max="3" width="13.85546875" customWidth="1"/>
    <col min="4" max="4" width="17.28515625" customWidth="1"/>
    <col min="5" max="5" width="12.5703125" bestFit="1" customWidth="1"/>
  </cols>
  <sheetData>
    <row r="1" spans="1:8">
      <c r="B1" s="94" t="s">
        <v>27</v>
      </c>
      <c r="C1">
        <v>47.8</v>
      </c>
      <c r="D1" s="1">
        <f>C18/C1</f>
        <v>982.06004184100425</v>
      </c>
      <c r="H1" t="s">
        <v>339</v>
      </c>
    </row>
    <row r="2" spans="1:8">
      <c r="B2" s="94" t="s">
        <v>31</v>
      </c>
      <c r="C2">
        <v>6.72</v>
      </c>
    </row>
    <row r="3" spans="1:8">
      <c r="B3" s="94" t="s">
        <v>34</v>
      </c>
      <c r="C3">
        <f>SUM(C1:C2)</f>
        <v>54.519999999999996</v>
      </c>
      <c r="D3" s="1">
        <f>C18/C3</f>
        <v>861.01375641966263</v>
      </c>
    </row>
    <row r="4" spans="1:8">
      <c r="A4" s="96"/>
      <c r="B4" s="345" t="s">
        <v>37</v>
      </c>
      <c r="C4" s="345" t="s">
        <v>38</v>
      </c>
      <c r="D4" s="344" t="s">
        <v>39</v>
      </c>
      <c r="E4" s="345" t="s">
        <v>40</v>
      </c>
    </row>
    <row r="5" spans="1:8">
      <c r="A5" s="97">
        <v>1</v>
      </c>
      <c r="B5" s="97" t="s">
        <v>42</v>
      </c>
      <c r="C5" s="346">
        <v>13466.13</v>
      </c>
      <c r="D5" s="348"/>
      <c r="E5" s="96">
        <f>C5-D5</f>
        <v>13466.13</v>
      </c>
    </row>
    <row r="6" spans="1:8">
      <c r="A6" s="96">
        <f>A5+1</f>
        <v>2</v>
      </c>
      <c r="B6" s="96" t="s">
        <v>43</v>
      </c>
      <c r="C6" s="345">
        <v>6772.73</v>
      </c>
      <c r="D6" s="349"/>
      <c r="E6" s="96">
        <f t="shared" ref="E6:E21" si="0">C6-D6</f>
        <v>6772.73</v>
      </c>
    </row>
    <row r="7" spans="1:8">
      <c r="A7" s="96">
        <f t="shared" ref="A7:A17" si="1">A6+1</f>
        <v>3</v>
      </c>
      <c r="B7" s="96" t="s">
        <v>45</v>
      </c>
      <c r="C7" s="345">
        <v>3500</v>
      </c>
      <c r="D7" s="349"/>
      <c r="E7" s="96">
        <f t="shared" si="0"/>
        <v>3500</v>
      </c>
    </row>
    <row r="8" spans="1:8">
      <c r="A8" s="96">
        <f t="shared" si="1"/>
        <v>4</v>
      </c>
      <c r="B8" s="96" t="s">
        <v>47</v>
      </c>
      <c r="C8" s="345">
        <v>1100</v>
      </c>
      <c r="D8" s="349"/>
      <c r="E8" s="96">
        <f t="shared" si="0"/>
        <v>1100</v>
      </c>
    </row>
    <row r="9" spans="1:8">
      <c r="A9" s="96">
        <f t="shared" si="1"/>
        <v>5</v>
      </c>
      <c r="B9" s="96" t="s">
        <v>49</v>
      </c>
      <c r="C9" s="345">
        <f>1500</f>
        <v>1500</v>
      </c>
      <c r="D9" s="349"/>
      <c r="E9" s="96">
        <f t="shared" si="0"/>
        <v>1500</v>
      </c>
    </row>
    <row r="10" spans="1:8">
      <c r="A10" s="96">
        <f t="shared" si="1"/>
        <v>6</v>
      </c>
      <c r="B10" s="96" t="s">
        <v>80</v>
      </c>
      <c r="C10" s="345">
        <f>1000</f>
        <v>1000</v>
      </c>
      <c r="D10" s="349"/>
      <c r="E10" s="96">
        <f t="shared" si="0"/>
        <v>1000</v>
      </c>
    </row>
    <row r="11" spans="1:8">
      <c r="A11" s="96">
        <f t="shared" si="1"/>
        <v>7</v>
      </c>
      <c r="B11" s="96" t="s">
        <v>104</v>
      </c>
      <c r="C11" s="345">
        <f>13686.4</f>
        <v>13686.4</v>
      </c>
      <c r="D11" s="350">
        <v>13686.4</v>
      </c>
      <c r="E11" s="96">
        <f t="shared" si="0"/>
        <v>0</v>
      </c>
    </row>
    <row r="12" spans="1:8">
      <c r="A12" s="96">
        <f t="shared" si="1"/>
        <v>8</v>
      </c>
      <c r="B12" s="96" t="s">
        <v>82</v>
      </c>
      <c r="C12" s="345">
        <v>1800</v>
      </c>
      <c r="D12" s="349"/>
      <c r="E12" s="96">
        <f t="shared" si="0"/>
        <v>1800</v>
      </c>
    </row>
    <row r="13" spans="1:8">
      <c r="A13" s="96">
        <f t="shared" si="1"/>
        <v>9</v>
      </c>
      <c r="B13" s="96" t="s">
        <v>83</v>
      </c>
      <c r="C13" s="345">
        <v>1100</v>
      </c>
      <c r="D13" s="349"/>
      <c r="E13" s="96">
        <f t="shared" si="0"/>
        <v>1100</v>
      </c>
    </row>
    <row r="14" spans="1:8">
      <c r="A14" s="96">
        <f t="shared" si="1"/>
        <v>10</v>
      </c>
      <c r="B14" s="96" t="s">
        <v>84</v>
      </c>
      <c r="C14" s="345">
        <f>26703.61-SUM(C7:C13)</f>
        <v>3017.2099999999991</v>
      </c>
      <c r="D14" s="349"/>
      <c r="E14" s="96">
        <f t="shared" si="0"/>
        <v>3017.2099999999991</v>
      </c>
    </row>
    <row r="15" spans="1:8">
      <c r="A15" s="96">
        <f t="shared" si="1"/>
        <v>11</v>
      </c>
      <c r="B15" s="96" t="s">
        <v>85</v>
      </c>
      <c r="C15" s="345"/>
      <c r="D15" s="349"/>
      <c r="E15" s="96">
        <f t="shared" si="0"/>
        <v>0</v>
      </c>
    </row>
    <row r="16" spans="1:8">
      <c r="A16" s="96">
        <f t="shared" si="1"/>
        <v>12</v>
      </c>
      <c r="B16" s="96" t="s">
        <v>86</v>
      </c>
      <c r="C16" s="345"/>
      <c r="D16" s="349"/>
      <c r="E16" s="96">
        <f t="shared" si="0"/>
        <v>0</v>
      </c>
    </row>
    <row r="17" spans="1:5">
      <c r="A17" s="96">
        <f t="shared" si="1"/>
        <v>13</v>
      </c>
      <c r="B17" s="96"/>
      <c r="C17" s="345"/>
      <c r="D17" s="349"/>
      <c r="E17" s="96">
        <f t="shared" si="0"/>
        <v>0</v>
      </c>
    </row>
    <row r="18" spans="1:5" ht="18.75">
      <c r="A18" s="96"/>
      <c r="B18" s="96" t="s">
        <v>66</v>
      </c>
      <c r="C18" s="96">
        <f>SUM(C5:C17)</f>
        <v>46942.47</v>
      </c>
      <c r="D18" s="349">
        <f>SUM(D5:D17)</f>
        <v>13686.4</v>
      </c>
      <c r="E18" s="347">
        <f t="shared" si="0"/>
        <v>33256.07</v>
      </c>
    </row>
    <row r="20" spans="1:5">
      <c r="B20" s="96" t="s">
        <v>67</v>
      </c>
      <c r="C20" s="96">
        <v>402.63</v>
      </c>
      <c r="D20" s="96">
        <v>312</v>
      </c>
      <c r="E20" s="96">
        <f t="shared" si="0"/>
        <v>90.63</v>
      </c>
    </row>
    <row r="21" spans="1:5">
      <c r="B21" s="96" t="s">
        <v>68</v>
      </c>
      <c r="C21" s="96">
        <v>100</v>
      </c>
      <c r="D21" s="96">
        <v>123</v>
      </c>
      <c r="E21" s="96">
        <f t="shared" si="0"/>
        <v>-23</v>
      </c>
    </row>
    <row r="22" spans="1:5">
      <c r="B22" s="96" t="s">
        <v>69</v>
      </c>
      <c r="C22" s="96"/>
      <c r="D22" s="96"/>
      <c r="E22" s="96"/>
    </row>
    <row r="23" spans="1:5" ht="18.75">
      <c r="B23" s="96" t="s">
        <v>66</v>
      </c>
      <c r="C23" s="96">
        <f>SUM(C20:C22)</f>
        <v>502.63</v>
      </c>
      <c r="D23" s="96">
        <f t="shared" ref="D23:E23" si="2">SUM(D20:D22)</f>
        <v>435</v>
      </c>
      <c r="E23" s="347">
        <f t="shared" si="2"/>
        <v>67.63</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AEAD4-3857-42FA-A437-121823439F61}">
  <sheetPr>
    <tabColor rgb="FF92D050"/>
    <pageSetUpPr fitToPage="1"/>
  </sheetPr>
  <dimension ref="A1:U30"/>
  <sheetViews>
    <sheetView topLeftCell="J7" workbookViewId="0">
      <selection activeCell="J7" sqref="J7"/>
    </sheetView>
  </sheetViews>
  <sheetFormatPr defaultRowHeight="15" outlineLevelRow="1"/>
  <cols>
    <col min="1" max="1" width="10" bestFit="1" customWidth="1"/>
    <col min="2" max="2" width="31.140625" customWidth="1"/>
    <col min="3" max="3" width="14.85546875" customWidth="1"/>
    <col min="4" max="4" width="10.7109375" customWidth="1"/>
    <col min="5" max="5" width="13.140625" customWidth="1"/>
    <col min="6" max="6" width="25.140625" customWidth="1"/>
    <col min="7" max="7" width="35.7109375" customWidth="1"/>
    <col min="8" max="8" width="23.42578125" customWidth="1"/>
    <col min="9" max="9" width="15" customWidth="1"/>
    <col min="10" max="10" width="12.7109375" customWidth="1"/>
    <col min="11" max="11" width="40.140625" customWidth="1"/>
    <col min="15" max="15" width="17.140625" customWidth="1"/>
    <col min="16" max="16" width="29.140625" customWidth="1"/>
    <col min="17" max="17" width="10.85546875" bestFit="1" customWidth="1"/>
  </cols>
  <sheetData>
    <row r="1" spans="1:19" s="387" customFormat="1" ht="18.75">
      <c r="A1" s="377" t="s">
        <v>74</v>
      </c>
      <c r="B1" s="377" t="s">
        <v>75</v>
      </c>
      <c r="C1" s="490"/>
      <c r="D1" s="490"/>
      <c r="E1" s="490"/>
      <c r="G1" s="515" t="s">
        <v>76</v>
      </c>
      <c r="H1" s="515"/>
    </row>
    <row r="2" spans="1:19" ht="18.75">
      <c r="G2" s="352"/>
      <c r="H2" s="353"/>
      <c r="O2" s="387"/>
      <c r="P2" s="387"/>
    </row>
    <row r="3" spans="1:19" ht="18.75" outlineLevel="1">
      <c r="B3" s="94" t="s">
        <v>27</v>
      </c>
      <c r="C3">
        <v>38.700000000000003</v>
      </c>
      <c r="D3" s="1">
        <f>C22/C3</f>
        <v>1354.062015503876</v>
      </c>
      <c r="G3" s="354" t="s">
        <v>28</v>
      </c>
      <c r="H3" s="356">
        <v>60866.14</v>
      </c>
      <c r="I3" s="351"/>
      <c r="J3">
        <f>ROUND(H3*0.3,2)</f>
        <v>18259.84</v>
      </c>
      <c r="K3" t="s">
        <v>77</v>
      </c>
      <c r="O3" s="387"/>
      <c r="P3" s="387"/>
    </row>
    <row r="4" spans="1:19" ht="17.25" customHeight="1" outlineLevel="1">
      <c r="B4" s="94" t="s">
        <v>31</v>
      </c>
      <c r="C4">
        <v>11.5</v>
      </c>
      <c r="G4" s="354" t="s">
        <v>32</v>
      </c>
      <c r="H4" s="355">
        <v>5598</v>
      </c>
      <c r="I4" s="320"/>
      <c r="J4">
        <f>ROUND(H3*0.6,2)</f>
        <v>36519.68</v>
      </c>
      <c r="K4" t="s">
        <v>78</v>
      </c>
      <c r="O4" s="387"/>
      <c r="P4" s="387"/>
      <c r="Q4" s="495"/>
      <c r="S4" s="1"/>
    </row>
    <row r="5" spans="1:19" ht="18.75">
      <c r="B5" s="322" t="s">
        <v>34</v>
      </c>
      <c r="C5" s="43">
        <f>SUM(C3:C4)</f>
        <v>50.2</v>
      </c>
      <c r="D5" s="317">
        <f>C22/C5</f>
        <v>1043.8685258964144</v>
      </c>
      <c r="G5" s="354" t="s">
        <v>35</v>
      </c>
      <c r="H5" s="355">
        <v>4652.5</v>
      </c>
      <c r="J5">
        <f>ROUND(H3*0.1,2)</f>
        <v>6086.61</v>
      </c>
      <c r="K5" t="s">
        <v>79</v>
      </c>
      <c r="O5" s="387"/>
      <c r="P5" s="387"/>
    </row>
    <row r="6" spans="1:19" ht="16.5" customHeight="1">
      <c r="A6" s="96"/>
      <c r="B6" s="345" t="s">
        <v>37</v>
      </c>
      <c r="C6" s="371" t="s">
        <v>38</v>
      </c>
      <c r="D6" s="362" t="s">
        <v>39</v>
      </c>
      <c r="E6" s="345" t="s">
        <v>40</v>
      </c>
      <c r="G6" s="354" t="s">
        <v>41</v>
      </c>
      <c r="H6" s="355">
        <f>H3+H4-D22-H5</f>
        <v>13403.075694879997</v>
      </c>
      <c r="O6" s="387"/>
      <c r="P6" s="387"/>
    </row>
    <row r="7" spans="1:19" ht="18.75">
      <c r="A7" s="346">
        <v>1</v>
      </c>
      <c r="B7" s="97" t="s">
        <v>42</v>
      </c>
      <c r="C7" s="376">
        <v>18133.86</v>
      </c>
      <c r="D7" s="409">
        <f>(307.31-160)*1.48*1.2359+160+7569.85*1.48*1.2359+3720+1278.66</f>
        <v>19274.364305120002</v>
      </c>
      <c r="E7" s="404">
        <f>C7-D7</f>
        <v>-1140.5043051200009</v>
      </c>
      <c r="F7">
        <v>1140.5</v>
      </c>
      <c r="H7" s="239">
        <f>H6/(H3+H4)</f>
        <v>0.20165875455365853</v>
      </c>
      <c r="O7" s="387"/>
      <c r="P7" s="387"/>
    </row>
    <row r="8" spans="1:19" ht="18.75">
      <c r="A8" s="345">
        <f>A7+1</f>
        <v>2</v>
      </c>
      <c r="B8" s="96" t="s">
        <v>43</v>
      </c>
      <c r="C8" s="371">
        <v>8491.91</v>
      </c>
      <c r="D8" s="363">
        <f>344+437.19+B30+870+1833.76+83.63+265+86.1+460.65+321.16+1078.51+145.16+1176.79+301.66+834.61</f>
        <v>8238.2199999999993</v>
      </c>
      <c r="E8" s="96">
        <f t="shared" ref="E8:E25" si="0">C8-D8</f>
        <v>253.69000000000051</v>
      </c>
      <c r="O8" s="387"/>
      <c r="P8" s="387"/>
      <c r="Q8" s="239"/>
    </row>
    <row r="9" spans="1:19" ht="18.75">
      <c r="A9" s="345">
        <f t="shared" ref="A9:A19" si="1">A8+1</f>
        <v>3</v>
      </c>
      <c r="B9" s="96" t="s">
        <v>45</v>
      </c>
      <c r="C9" s="378">
        <v>4000</v>
      </c>
      <c r="D9" s="363">
        <v>3537.06</v>
      </c>
      <c r="E9" s="404">
        <f t="shared" si="0"/>
        <v>462.94000000000005</v>
      </c>
      <c r="G9" s="369" t="s">
        <v>46</v>
      </c>
      <c r="H9" s="370">
        <f>C7/C27</f>
        <v>23.726102315844567</v>
      </c>
      <c r="J9" s="49"/>
      <c r="O9" s="387"/>
      <c r="P9" s="387"/>
    </row>
    <row r="10" spans="1:19" ht="18.75">
      <c r="A10" s="345">
        <f t="shared" si="1"/>
        <v>4</v>
      </c>
      <c r="B10" s="96" t="s">
        <v>47</v>
      </c>
      <c r="C10" s="378">
        <v>500</v>
      </c>
      <c r="D10" s="363"/>
      <c r="E10" s="404">
        <f t="shared" si="0"/>
        <v>500</v>
      </c>
      <c r="G10" s="371" t="s">
        <v>48</v>
      </c>
      <c r="H10" s="372">
        <f>C27/C5</f>
        <v>15.225099601593623</v>
      </c>
      <c r="O10" s="387"/>
      <c r="P10" s="387"/>
    </row>
    <row r="11" spans="1:19">
      <c r="A11" s="345">
        <f t="shared" si="1"/>
        <v>5</v>
      </c>
      <c r="B11" s="96" t="s">
        <v>49</v>
      </c>
      <c r="C11" s="378">
        <v>400</v>
      </c>
      <c r="D11" s="363">
        <v>18.97</v>
      </c>
      <c r="E11" s="404">
        <f t="shared" si="0"/>
        <v>381.03</v>
      </c>
      <c r="G11" s="371" t="s">
        <v>50</v>
      </c>
      <c r="H11" s="378">
        <f>H9*H10</f>
        <v>361.23227091633464</v>
      </c>
    </row>
    <row r="12" spans="1:19">
      <c r="A12" s="345">
        <f t="shared" si="1"/>
        <v>6</v>
      </c>
      <c r="B12" s="96" t="s">
        <v>80</v>
      </c>
      <c r="C12" s="378">
        <v>800</v>
      </c>
      <c r="D12" s="363">
        <v>350</v>
      </c>
      <c r="E12" s="404">
        <f t="shared" si="0"/>
        <v>450</v>
      </c>
    </row>
    <row r="13" spans="1:19">
      <c r="A13" s="345">
        <f t="shared" si="1"/>
        <v>7</v>
      </c>
      <c r="B13" s="96" t="s">
        <v>81</v>
      </c>
      <c r="C13" s="378">
        <v>12050</v>
      </c>
      <c r="D13" s="402">
        <v>12024.84</v>
      </c>
      <c r="E13" s="404">
        <f t="shared" si="0"/>
        <v>25.159999999999854</v>
      </c>
      <c r="G13" s="366" t="s">
        <v>55</v>
      </c>
      <c r="H13" s="367">
        <f>D7/D27</f>
        <v>26.07110010160963</v>
      </c>
    </row>
    <row r="14" spans="1:19">
      <c r="A14" s="345">
        <f t="shared" si="1"/>
        <v>8</v>
      </c>
      <c r="B14" s="96" t="s">
        <v>82</v>
      </c>
      <c r="C14" s="378"/>
      <c r="D14" s="363"/>
      <c r="E14" s="404">
        <f t="shared" si="0"/>
        <v>0</v>
      </c>
      <c r="G14" s="366" t="s">
        <v>57</v>
      </c>
      <c r="H14" s="368">
        <f>D27/C5</f>
        <v>14.727091633466136</v>
      </c>
    </row>
    <row r="15" spans="1:19">
      <c r="A15" s="345">
        <f t="shared" si="1"/>
        <v>9</v>
      </c>
      <c r="B15" s="96" t="s">
        <v>83</v>
      </c>
      <c r="C15" s="378">
        <f>1200+2400</f>
        <v>3600</v>
      </c>
      <c r="D15" s="363">
        <f>373.75+2095.13</f>
        <v>2468.88</v>
      </c>
      <c r="E15" s="404">
        <f t="shared" si="0"/>
        <v>1131.1199999999999</v>
      </c>
      <c r="G15" s="366" t="s">
        <v>59</v>
      </c>
      <c r="H15" s="374">
        <f>H14*H13</f>
        <v>383.95148018167333</v>
      </c>
    </row>
    <row r="16" spans="1:19">
      <c r="A16" s="345">
        <f t="shared" si="1"/>
        <v>10</v>
      </c>
      <c r="B16" s="96" t="s">
        <v>84</v>
      </c>
      <c r="C16" s="371">
        <f>2919.93</f>
        <v>2919.93</v>
      </c>
      <c r="D16" s="363">
        <f>133.83+125+81.63+218.9+116.55+30.32+480</f>
        <v>1186.23</v>
      </c>
      <c r="E16" s="96">
        <f t="shared" si="0"/>
        <v>1733.6999999999998</v>
      </c>
    </row>
    <row r="17" spans="1:21">
      <c r="A17" s="345">
        <f t="shared" si="1"/>
        <v>11</v>
      </c>
      <c r="B17" s="96" t="s">
        <v>85</v>
      </c>
      <c r="C17" s="405"/>
      <c r="D17" s="363"/>
      <c r="E17" s="96">
        <f t="shared" si="0"/>
        <v>0</v>
      </c>
      <c r="G17" s="375" t="s">
        <v>62</v>
      </c>
      <c r="H17" s="374">
        <f>(D7+D9+D11)/D27</f>
        <v>30.881096043717033</v>
      </c>
    </row>
    <row r="18" spans="1:21">
      <c r="A18" s="345">
        <f t="shared" si="1"/>
        <v>12</v>
      </c>
      <c r="B18" s="96" t="s">
        <v>86</v>
      </c>
      <c r="C18" s="405"/>
      <c r="D18" s="363"/>
      <c r="E18" s="96">
        <f t="shared" si="0"/>
        <v>0</v>
      </c>
      <c r="G18" s="366" t="s">
        <v>64</v>
      </c>
      <c r="H18" s="374">
        <f>3537.06/19/5</f>
        <v>37.232210526315789</v>
      </c>
    </row>
    <row r="19" spans="1:21">
      <c r="A19" s="345">
        <f t="shared" si="1"/>
        <v>13</v>
      </c>
      <c r="B19" s="96" t="s">
        <v>87</v>
      </c>
      <c r="C19" s="405"/>
      <c r="D19" s="363"/>
      <c r="E19" s="96">
        <f t="shared" si="0"/>
        <v>0</v>
      </c>
    </row>
    <row r="20" spans="1:21">
      <c r="A20" s="345"/>
      <c r="B20" s="96" t="s">
        <v>88</v>
      </c>
      <c r="C20" s="405">
        <v>126.5</v>
      </c>
      <c r="D20" s="363">
        <v>110</v>
      </c>
      <c r="E20" s="96">
        <f t="shared" si="0"/>
        <v>16.5</v>
      </c>
      <c r="U20" s="1">
        <f>C22-C21-C20-C19-C18-C17</f>
        <v>50895.700000000004</v>
      </c>
    </row>
    <row r="21" spans="1:21">
      <c r="A21" s="345"/>
      <c r="B21" s="96" t="s">
        <v>89</v>
      </c>
      <c r="C21" s="405">
        <v>1380</v>
      </c>
      <c r="D21" s="363">
        <v>1200</v>
      </c>
      <c r="E21" s="96">
        <f t="shared" si="0"/>
        <v>180</v>
      </c>
    </row>
    <row r="22" spans="1:21" ht="18.75">
      <c r="A22" s="96"/>
      <c r="B22" s="96" t="s">
        <v>66</v>
      </c>
      <c r="C22" s="378">
        <f>SUM(C7:C21)</f>
        <v>52402.200000000004</v>
      </c>
      <c r="D22" s="402">
        <f>SUM(D7:D21)</f>
        <v>48408.564305120002</v>
      </c>
      <c r="E22" s="453">
        <f t="shared" si="0"/>
        <v>3993.6356948800021</v>
      </c>
      <c r="F22" s="93"/>
      <c r="H22" s="1">
        <f>D22+H5</f>
        <v>53061.064305120002</v>
      </c>
    </row>
    <row r="23" spans="1:21" ht="15" customHeight="1">
      <c r="C23" s="452">
        <f>(H3+H4-C22)/(H3+H4)</f>
        <v>0.21157183407473557</v>
      </c>
      <c r="D23" s="43"/>
      <c r="G23" s="43"/>
      <c r="H23" s="43"/>
      <c r="I23" s="357"/>
      <c r="M23" s="1"/>
    </row>
    <row r="24" spans="1:21">
      <c r="B24" s="96" t="s">
        <v>67</v>
      </c>
      <c r="C24" s="373">
        <v>568</v>
      </c>
      <c r="D24" s="364">
        <f>20+563.2</f>
        <v>583.20000000000005</v>
      </c>
      <c r="E24" s="96">
        <f t="shared" si="0"/>
        <v>-15.200000000000045</v>
      </c>
      <c r="I24" s="357"/>
    </row>
    <row r="25" spans="1:21" ht="15" customHeight="1">
      <c r="B25" s="96" t="s">
        <v>68</v>
      </c>
      <c r="C25" s="373">
        <f>C24/4</f>
        <v>142</v>
      </c>
      <c r="D25" s="364">
        <f>132+24.1</f>
        <v>156.1</v>
      </c>
      <c r="E25" s="96">
        <f t="shared" si="0"/>
        <v>-14.099999999999994</v>
      </c>
      <c r="I25" s="358"/>
    </row>
    <row r="26" spans="1:21">
      <c r="B26" s="96" t="s">
        <v>69</v>
      </c>
      <c r="C26" s="373">
        <v>54.3</v>
      </c>
      <c r="D26" s="364"/>
      <c r="E26" s="96">
        <f>C26-D26</f>
        <v>54.3</v>
      </c>
      <c r="G26" s="359"/>
      <c r="H26" s="359"/>
      <c r="I26" s="359"/>
    </row>
    <row r="27" spans="1:21" ht="18.75">
      <c r="B27" s="96" t="s">
        <v>66</v>
      </c>
      <c r="C27" s="373">
        <f>SUM(C24:C26)</f>
        <v>764.3</v>
      </c>
      <c r="D27" s="364">
        <f t="shared" ref="D27:E27" si="2">SUM(D24:D26)</f>
        <v>739.30000000000007</v>
      </c>
      <c r="E27" s="347">
        <f t="shared" si="2"/>
        <v>24.999999999999957</v>
      </c>
      <c r="G27" s="360"/>
      <c r="H27" s="360"/>
      <c r="I27" s="360"/>
    </row>
    <row r="28" spans="1:21">
      <c r="A28" s="140"/>
      <c r="B28" s="272"/>
      <c r="C28" s="240"/>
      <c r="G28" s="360"/>
      <c r="H28" s="361"/>
      <c r="I28" s="361"/>
    </row>
    <row r="29" spans="1:21">
      <c r="A29" s="141"/>
      <c r="G29" s="43"/>
      <c r="H29" s="43"/>
      <c r="I29" s="43"/>
    </row>
    <row r="30" spans="1:21">
      <c r="B30" s="328">
        <f>B31+B32+B33+B34</f>
        <v>0</v>
      </c>
      <c r="G30" s="43"/>
      <c r="H30" s="43"/>
      <c r="I30" s="43"/>
    </row>
  </sheetData>
  <mergeCells count="1">
    <mergeCell ref="G1:H1"/>
  </mergeCells>
  <conditionalFormatting sqref="H13:I13">
    <cfRule type="cellIs" dxfId="15" priority="7" operator="greaterThan">
      <formula>$H$9</formula>
    </cfRule>
  </conditionalFormatting>
  <conditionalFormatting sqref="H2:I2">
    <cfRule type="cellIs" dxfId="14" priority="8" operator="greaterThan">
      <formula>#REF!</formula>
    </cfRule>
  </conditionalFormatting>
  <conditionalFormatting sqref="E7:E22">
    <cfRule type="cellIs" dxfId="13" priority="6" operator="lessThan">
      <formula>0</formula>
    </cfRule>
  </conditionalFormatting>
  <conditionalFormatting sqref="E24:E27">
    <cfRule type="cellIs" dxfId="12" priority="5" operator="lessThan">
      <formula>0</formula>
    </cfRule>
  </conditionalFormatting>
  <conditionalFormatting sqref="H14:I14">
    <cfRule type="cellIs" dxfId="11" priority="9" operator="greaterThan">
      <formula>$H$10</formula>
    </cfRule>
  </conditionalFormatting>
  <conditionalFormatting sqref="H13:I13">
    <cfRule type="cellIs" dxfId="10" priority="4" operator="greaterThan">
      <formula>$H$9</formula>
    </cfRule>
  </conditionalFormatting>
  <conditionalFormatting sqref="H15:I15">
    <cfRule type="cellIs" dxfId="9" priority="3" operator="greaterThan">
      <formula>$H$11</formula>
    </cfRule>
  </conditionalFormatting>
  <conditionalFormatting sqref="F7:F22">
    <cfRule type="cellIs" dxfId="8" priority="2" operator="lessThan">
      <formula>0</formula>
    </cfRule>
  </conditionalFormatting>
  <conditionalFormatting sqref="F24:F27">
    <cfRule type="cellIs" dxfId="7" priority="1" operator="lessThan">
      <formula>0</formula>
    </cfRule>
  </conditionalFormatting>
  <pageMargins left="0.7" right="0.7" top="0.75" bottom="0.75" header="0.3" footer="0.3"/>
  <pageSetup paperSize="9" orientation="landscape"/>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15380D-C92A-4AF8-9EBD-BD106EFC1CDE}">
  <sheetPr>
    <tabColor rgb="FF92D050"/>
    <pageSetUpPr fitToPage="1"/>
  </sheetPr>
  <dimension ref="A1:L35"/>
  <sheetViews>
    <sheetView workbookViewId="0">
      <selection activeCell="D8" sqref="D8"/>
    </sheetView>
  </sheetViews>
  <sheetFormatPr defaultRowHeight="15" outlineLevelRow="1"/>
  <cols>
    <col min="1" max="1" width="10" bestFit="1" customWidth="1"/>
    <col min="2" max="2" width="30.140625" bestFit="1" customWidth="1"/>
    <col min="3" max="3" width="14.85546875" customWidth="1"/>
    <col min="4" max="5" width="10.7109375" customWidth="1"/>
    <col min="6" max="6" width="7.140625" customWidth="1"/>
    <col min="7" max="7" width="35.7109375" customWidth="1"/>
    <col min="8" max="8" width="23.42578125" customWidth="1"/>
    <col min="9" max="9" width="15" customWidth="1"/>
    <col min="10" max="10" width="12.7109375" customWidth="1"/>
  </cols>
  <sheetData>
    <row r="1" spans="1:12" s="387" customFormat="1" ht="18.75">
      <c r="A1" s="433" t="s">
        <v>156</v>
      </c>
      <c r="B1" s="517" t="s">
        <v>157</v>
      </c>
      <c r="C1" s="517"/>
      <c r="D1" s="517"/>
      <c r="E1" s="517"/>
      <c r="G1" s="515" t="s">
        <v>158</v>
      </c>
      <c r="H1" s="515"/>
    </row>
    <row r="2" spans="1:12">
      <c r="G2" s="352"/>
      <c r="H2" s="353"/>
      <c r="J2" s="518"/>
      <c r="K2" s="518"/>
      <c r="L2" s="518"/>
    </row>
    <row r="3" spans="1:12" outlineLevel="1">
      <c r="B3" s="94" t="s">
        <v>27</v>
      </c>
      <c r="C3">
        <v>58.6</v>
      </c>
      <c r="D3" s="1">
        <f>C24/C3</f>
        <v>1141.9935153583619</v>
      </c>
      <c r="G3" s="354" t="s">
        <v>28</v>
      </c>
      <c r="H3" s="355">
        <v>75326.52</v>
      </c>
      <c r="I3" s="420"/>
      <c r="J3" s="1">
        <f>75326.52*0.3</f>
        <v>22597.956000000002</v>
      </c>
    </row>
    <row r="4" spans="1:12" ht="17.25" customHeight="1" outlineLevel="1">
      <c r="B4" s="94" t="s">
        <v>31</v>
      </c>
      <c r="C4">
        <v>45.5</v>
      </c>
      <c r="G4" s="354" t="s">
        <v>32</v>
      </c>
      <c r="H4" s="355">
        <f>3461.7+4094+2142.4</f>
        <v>9698.1</v>
      </c>
      <c r="I4" s="422"/>
      <c r="J4" s="1">
        <f>H3*0.9</f>
        <v>67793.868000000002</v>
      </c>
    </row>
    <row r="5" spans="1:12">
      <c r="B5" s="322" t="s">
        <v>34</v>
      </c>
      <c r="C5" s="43">
        <f>SUM(C3:C4)</f>
        <v>104.1</v>
      </c>
      <c r="D5" s="317">
        <f>C24/C5</f>
        <v>642.85129682997126</v>
      </c>
      <c r="G5" s="354" t="s">
        <v>35</v>
      </c>
      <c r="H5" s="355">
        <f>(H3+H4)*0.07</f>
        <v>5951.7234000000017</v>
      </c>
      <c r="I5" s="421"/>
      <c r="J5" s="1">
        <f>H3-J4</f>
        <v>7532.6520000000019</v>
      </c>
      <c r="K5" t="s">
        <v>159</v>
      </c>
    </row>
    <row r="6" spans="1:12" ht="16.5" customHeight="1">
      <c r="A6" s="96"/>
      <c r="B6" s="345" t="s">
        <v>37</v>
      </c>
      <c r="C6" s="371" t="s">
        <v>38</v>
      </c>
      <c r="D6" s="362" t="s">
        <v>39</v>
      </c>
      <c r="E6" s="345" t="s">
        <v>40</v>
      </c>
      <c r="G6" s="354" t="s">
        <v>41</v>
      </c>
      <c r="H6" s="355">
        <f>H3+H4-D24-H5</f>
        <v>21821.83204592362</v>
      </c>
    </row>
    <row r="7" spans="1:12">
      <c r="A7" s="346">
        <v>1</v>
      </c>
      <c r="B7" s="97" t="s">
        <v>42</v>
      </c>
      <c r="C7" s="376">
        <f>25181.19+440+587.4+626.56+241.47</f>
        <v>27076.620000000003</v>
      </c>
      <c r="D7" s="409">
        <f>(238.91-120-138*40+209.21*12+109.17*13.81+444.82*13+337.8+2018.16)*1.48*1.2359+160+5520</f>
        <v>18037.044554076398</v>
      </c>
      <c r="E7" s="404">
        <f>C7-D7</f>
        <v>9039.575445923605</v>
      </c>
      <c r="H7" s="239">
        <f>H6/(H4+H3)</f>
        <v>0.25665309701970579</v>
      </c>
    </row>
    <row r="8" spans="1:12">
      <c r="A8" s="345">
        <f>A7+1</f>
        <v>2</v>
      </c>
      <c r="B8" s="96" t="s">
        <v>43</v>
      </c>
      <c r="C8" s="371">
        <f>10234.11+1600+785+165</f>
        <v>12784.11</v>
      </c>
      <c r="D8" s="363">
        <f>C34+4654.94+862.99+1793.26+700+330.35+891+2135.65+1793.26+247.07+806.49+50+55.26</f>
        <v>14320.269999999999</v>
      </c>
      <c r="E8" s="96">
        <f t="shared" ref="E8:E27" si="0">C8-D8</f>
        <v>-1536.159999999998</v>
      </c>
      <c r="J8" s="1"/>
    </row>
    <row r="9" spans="1:12">
      <c r="A9" s="345">
        <f t="shared" ref="A9:A23" si="1">A8+1</f>
        <v>3</v>
      </c>
      <c r="B9" s="96" t="s">
        <v>45</v>
      </c>
      <c r="C9" s="378">
        <v>2500</v>
      </c>
      <c r="D9" s="402">
        <v>5415.96</v>
      </c>
      <c r="E9" s="96">
        <f t="shared" si="0"/>
        <v>-2915.96</v>
      </c>
      <c r="G9" s="369" t="s">
        <v>46</v>
      </c>
      <c r="H9" s="370">
        <f>C7/C29</f>
        <v>21.467572624635295</v>
      </c>
      <c r="J9" s="49"/>
    </row>
    <row r="10" spans="1:12">
      <c r="A10" s="345">
        <f t="shared" si="1"/>
        <v>4</v>
      </c>
      <c r="B10" s="96" t="s">
        <v>47</v>
      </c>
      <c r="C10" s="378">
        <v>460</v>
      </c>
      <c r="D10" s="363">
        <f>232.47+237.27</f>
        <v>469.74</v>
      </c>
      <c r="E10" s="96">
        <f t="shared" si="0"/>
        <v>-9.7400000000000091</v>
      </c>
      <c r="G10" s="371" t="s">
        <v>48</v>
      </c>
      <c r="H10" s="372">
        <f>C29/C5</f>
        <v>12.116042267050913</v>
      </c>
    </row>
    <row r="11" spans="1:12">
      <c r="A11" s="345">
        <f t="shared" si="1"/>
        <v>5</v>
      </c>
      <c r="B11" s="96" t="s">
        <v>151</v>
      </c>
      <c r="C11" s="378">
        <v>400</v>
      </c>
      <c r="D11" s="363">
        <f>210.99+32.98+15</f>
        <v>258.97000000000003</v>
      </c>
      <c r="E11" s="96">
        <f t="shared" si="0"/>
        <v>141.02999999999997</v>
      </c>
      <c r="G11" s="371" t="s">
        <v>50</v>
      </c>
      <c r="H11" s="378">
        <f>C24/C5</f>
        <v>642.85129682997126</v>
      </c>
    </row>
    <row r="12" spans="1:12">
      <c r="A12" s="345">
        <f t="shared" si="1"/>
        <v>6</v>
      </c>
      <c r="B12" s="96" t="s">
        <v>80</v>
      </c>
      <c r="C12" s="378">
        <v>800</v>
      </c>
      <c r="D12" s="402">
        <v>190</v>
      </c>
      <c r="E12" s="404">
        <f t="shared" si="0"/>
        <v>610</v>
      </c>
    </row>
    <row r="13" spans="1:12">
      <c r="A13" s="345"/>
      <c r="B13" s="96" t="s">
        <v>120</v>
      </c>
      <c r="C13" s="378"/>
      <c r="D13" s="402"/>
      <c r="E13" s="96">
        <f>C13-D13</f>
        <v>0</v>
      </c>
    </row>
    <row r="14" spans="1:12">
      <c r="A14" s="345"/>
      <c r="B14" s="96" t="s">
        <v>160</v>
      </c>
      <c r="C14" s="378">
        <v>703.2</v>
      </c>
      <c r="D14" s="402">
        <v>480</v>
      </c>
      <c r="E14" s="404">
        <f t="shared" ref="E14:E16" si="2">C14-D14</f>
        <v>223.20000000000005</v>
      </c>
    </row>
    <row r="15" spans="1:12">
      <c r="A15" s="345"/>
      <c r="B15" s="96" t="s">
        <v>161</v>
      </c>
      <c r="C15" s="371">
        <v>0</v>
      </c>
      <c r="D15" s="363"/>
      <c r="E15" s="96">
        <f t="shared" si="2"/>
        <v>0</v>
      </c>
    </row>
    <row r="16" spans="1:12">
      <c r="A16" s="345"/>
      <c r="B16" s="96" t="s">
        <v>155</v>
      </c>
      <c r="C16" s="371">
        <v>0</v>
      </c>
      <c r="D16" s="363"/>
      <c r="E16" s="96">
        <f t="shared" si="2"/>
        <v>0</v>
      </c>
    </row>
    <row r="17" spans="1:10">
      <c r="A17" s="345">
        <f>A12+1</f>
        <v>7</v>
      </c>
      <c r="B17" s="96" t="s">
        <v>104</v>
      </c>
      <c r="C17" s="378">
        <v>12532</v>
      </c>
      <c r="D17" s="363">
        <v>12396.84</v>
      </c>
      <c r="E17" s="96">
        <f t="shared" si="0"/>
        <v>135.15999999999985</v>
      </c>
      <c r="G17" s="366" t="s">
        <v>55</v>
      </c>
      <c r="H17" s="367">
        <f>D7/D29</f>
        <v>18.598726081745099</v>
      </c>
    </row>
    <row r="18" spans="1:10">
      <c r="A18" s="345">
        <f t="shared" si="1"/>
        <v>8</v>
      </c>
      <c r="B18" s="96" t="s">
        <v>82</v>
      </c>
      <c r="C18" s="371">
        <v>0</v>
      </c>
      <c r="D18" s="363"/>
      <c r="E18" s="96">
        <f t="shared" si="0"/>
        <v>0</v>
      </c>
      <c r="G18" s="366" t="s">
        <v>57</v>
      </c>
      <c r="H18" s="368">
        <f>D29/C5</f>
        <v>9.3160422670509124</v>
      </c>
    </row>
    <row r="19" spans="1:10">
      <c r="A19" s="345">
        <f t="shared" si="1"/>
        <v>9</v>
      </c>
      <c r="B19" s="96" t="s">
        <v>83</v>
      </c>
      <c r="C19" s="378">
        <v>3536.3</v>
      </c>
      <c r="D19" s="402">
        <f>1090.2+63</f>
        <v>1153.2</v>
      </c>
      <c r="E19" s="404">
        <f t="shared" si="0"/>
        <v>2383.1000000000004</v>
      </c>
      <c r="G19" s="366" t="s">
        <v>59</v>
      </c>
      <c r="H19" s="374">
        <f>H18*H17</f>
        <v>173.26651829083954</v>
      </c>
    </row>
    <row r="20" spans="1:10">
      <c r="A20" s="345">
        <f t="shared" si="1"/>
        <v>10</v>
      </c>
      <c r="B20" s="96" t="s">
        <v>84</v>
      </c>
      <c r="C20" s="371">
        <f>1677.35+100+213.6+35.6+8.04</f>
        <v>2034.5899999999997</v>
      </c>
      <c r="D20" s="363">
        <f>297.49+265+168.39+238.16</f>
        <v>969.04</v>
      </c>
      <c r="E20" s="96">
        <f t="shared" si="0"/>
        <v>1065.5499999999997</v>
      </c>
    </row>
    <row r="21" spans="1:10">
      <c r="A21" s="345">
        <f t="shared" si="1"/>
        <v>11</v>
      </c>
      <c r="B21" s="96" t="s">
        <v>85</v>
      </c>
      <c r="C21" s="378">
        <v>4094</v>
      </c>
      <c r="D21" s="402">
        <v>3560</v>
      </c>
      <c r="E21" s="404">
        <f t="shared" si="0"/>
        <v>534</v>
      </c>
      <c r="G21" s="375" t="s">
        <v>62</v>
      </c>
      <c r="H21" s="374">
        <f>(D7+D9+D11)/D29</f>
        <v>24.450375906451224</v>
      </c>
      <c r="J21" s="378">
        <v>4094</v>
      </c>
    </row>
    <row r="22" spans="1:10">
      <c r="A22" s="345">
        <f t="shared" si="1"/>
        <v>12</v>
      </c>
      <c r="B22" s="96" t="s">
        <v>86</v>
      </c>
      <c r="C22" s="378"/>
      <c r="D22" s="363"/>
      <c r="E22" s="404">
        <f t="shared" si="0"/>
        <v>0</v>
      </c>
      <c r="G22" s="366" t="s">
        <v>64</v>
      </c>
      <c r="H22" s="374">
        <f>D9/30/5</f>
        <v>36.106400000000001</v>
      </c>
      <c r="J22" s="378">
        <v>3461</v>
      </c>
    </row>
    <row r="23" spans="1:10">
      <c r="A23" s="345">
        <f t="shared" si="1"/>
        <v>13</v>
      </c>
      <c r="B23" s="96" t="s">
        <v>87</v>
      </c>
      <c r="C23" s="378"/>
      <c r="D23" s="363"/>
      <c r="E23" s="404">
        <f t="shared" si="0"/>
        <v>0</v>
      </c>
      <c r="J23" s="378">
        <v>2142</v>
      </c>
    </row>
    <row r="24" spans="1:10" ht="18.75">
      <c r="A24" s="96"/>
      <c r="B24" s="96" t="s">
        <v>66</v>
      </c>
      <c r="C24" s="371">
        <f>SUM(C7:C23)</f>
        <v>66920.820000000007</v>
      </c>
      <c r="D24" s="402">
        <f>SUM(D7:D23)</f>
        <v>57251.064554076387</v>
      </c>
      <c r="E24" s="347">
        <f t="shared" si="0"/>
        <v>9669.7554459236198</v>
      </c>
      <c r="F24" s="93"/>
      <c r="H24" s="1">
        <f>D24+H5</f>
        <v>63202.78795407639</v>
      </c>
    </row>
    <row r="25" spans="1:10" ht="15" customHeight="1">
      <c r="C25" s="452">
        <f>(H3+H4-C24)/(H3+H4)</f>
        <v>0.21292420948191243</v>
      </c>
      <c r="D25" s="43"/>
    </row>
    <row r="26" spans="1:10">
      <c r="B26" s="96" t="s">
        <v>67</v>
      </c>
      <c r="C26" s="373">
        <v>975</v>
      </c>
      <c r="D26" s="364">
        <f>7+766-3.2</f>
        <v>769.8</v>
      </c>
      <c r="E26" s="96">
        <f t="shared" si="0"/>
        <v>205.20000000000005</v>
      </c>
    </row>
    <row r="27" spans="1:10" ht="15" customHeight="1">
      <c r="B27" s="96" t="s">
        <v>68</v>
      </c>
      <c r="C27" s="373">
        <v>220</v>
      </c>
      <c r="D27" s="364">
        <f>25*8</f>
        <v>200</v>
      </c>
      <c r="E27" s="96">
        <f t="shared" si="0"/>
        <v>20</v>
      </c>
    </row>
    <row r="28" spans="1:10">
      <c r="B28" s="96" t="s">
        <v>69</v>
      </c>
      <c r="C28" s="373">
        <f>20+17.8+28.48</f>
        <v>66.28</v>
      </c>
      <c r="D28" s="364"/>
      <c r="E28" s="96">
        <f>C28-D28</f>
        <v>66.28</v>
      </c>
    </row>
    <row r="29" spans="1:10" ht="18.75">
      <c r="B29" s="96" t="s">
        <v>66</v>
      </c>
      <c r="C29" s="373">
        <f>SUM(C26:C28)</f>
        <v>1261.28</v>
      </c>
      <c r="D29" s="364">
        <f t="shared" ref="D29:E29" si="3">SUM(D26:D28)</f>
        <v>969.8</v>
      </c>
      <c r="E29" s="347">
        <f t="shared" si="3"/>
        <v>291.48</v>
      </c>
    </row>
    <row r="30" spans="1:10">
      <c r="A30" s="141"/>
    </row>
    <row r="31" spans="1:10">
      <c r="A31" s="141"/>
    </row>
    <row r="32" spans="1:10" ht="24.75" customHeight="1"/>
    <row r="33" spans="1:3" ht="27.75" customHeight="1"/>
    <row r="34" spans="1:3">
      <c r="A34" t="s">
        <v>70</v>
      </c>
      <c r="C34" s="328">
        <f>C36+C37+C38+C39</f>
        <v>0</v>
      </c>
    </row>
    <row r="35" spans="1:3">
      <c r="C35" s="419"/>
    </row>
  </sheetData>
  <mergeCells count="3">
    <mergeCell ref="B1:E1"/>
    <mergeCell ref="G1:H1"/>
    <mergeCell ref="J2:L2"/>
  </mergeCells>
  <conditionalFormatting sqref="H17">
    <cfRule type="cellIs" dxfId="6" priority="5" operator="greaterThan">
      <formula>$H$9</formula>
    </cfRule>
  </conditionalFormatting>
  <conditionalFormatting sqref="E7:E24">
    <cfRule type="cellIs" dxfId="5" priority="4" operator="lessThan">
      <formula>0</formula>
    </cfRule>
  </conditionalFormatting>
  <conditionalFormatting sqref="E26:E29">
    <cfRule type="cellIs" dxfId="4" priority="3" operator="lessThan">
      <formula>0</formula>
    </cfRule>
  </conditionalFormatting>
  <conditionalFormatting sqref="H18">
    <cfRule type="cellIs" dxfId="3" priority="7" operator="greaterThan">
      <formula>$H$10</formula>
    </cfRule>
  </conditionalFormatting>
  <conditionalFormatting sqref="H17">
    <cfRule type="cellIs" dxfId="2" priority="2" operator="greaterThan">
      <formula>$H$9</formula>
    </cfRule>
  </conditionalFormatting>
  <conditionalFormatting sqref="H19">
    <cfRule type="cellIs" dxfId="1" priority="1" operator="greaterThan">
      <formula>$H$11</formula>
    </cfRule>
  </conditionalFormatting>
  <pageMargins left="0.7" right="0.7" top="0.75" bottom="0.75" header="0.3" footer="0.3"/>
  <pageSetup paperSize="9" orientation="landscape"/>
  <extLst>
    <ext xmlns:x14="http://schemas.microsoft.com/office/spreadsheetml/2009/9/main" uri="{78C0D931-6437-407d-A8EE-F0AAD7539E65}">
      <x14:conditionalFormattings>
        <x14:conditionalFormatting xmlns:xm="http://schemas.microsoft.com/office/excel/2006/main">
          <x14:cfRule type="cellIs" priority="6" operator="greaterThan" id="{7C7C270D-2714-4F07-A94A-9900D1715793}">
            <xm:f>UGG!#REF!</xm:f>
            <x14:dxf>
              <font>
                <color rgb="FF9C0006"/>
              </font>
              <fill>
                <patternFill patternType="solid">
                  <bgColor rgb="FF92D050"/>
                </patternFill>
              </fill>
            </x14:dxf>
          </x14:cfRule>
          <xm:sqref>H2</xm:sqref>
        </x14:conditionalFormatting>
      </x14:conditionalFormatting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3D9736-179F-492A-A14B-3CB01876A885}">
  <dimension ref="A1"/>
  <sheetViews>
    <sheetView workbookViewId="0"/>
  </sheetViews>
  <sheetFormatPr defaultRowHeight="1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FB223913-A859-43C9-8A27-35198EC8ECD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Office_Franzoni &amp; Co</dc:creator>
  <cp:keywords/>
  <dc:description/>
  <cp:lastModifiedBy>Office_Franzoni &amp; Co</cp:lastModifiedBy>
  <cp:revision/>
  <dcterms:created xsi:type="dcterms:W3CDTF">2021-01-14T07:32:13Z</dcterms:created>
  <dcterms:modified xsi:type="dcterms:W3CDTF">2026-01-30T06:23:24Z</dcterms:modified>
  <cp:category/>
  <cp:contentStatus/>
</cp:coreProperties>
</file>