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2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6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2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7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3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36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9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4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4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1.xml" ContentType="application/vnd.openxmlformats-officedocument.drawing+xml"/>
  <Override PartName="/xl/charts/chart4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52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3.xml" ContentType="application/vnd.openxmlformats-officedocument.drawing+xml"/>
  <Override PartName="/xl/charts/chart53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14.xml" ContentType="application/vnd.openxmlformats-officedocument.drawing+xml"/>
  <Override PartName="/xl/charts/chart56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15.xml" ContentType="application/vnd.openxmlformats-officedocument.drawing+xml"/>
  <Override PartName="/xl/charts/chart60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6.xml" ContentType="application/vnd.openxmlformats-officedocument.drawing+xml"/>
  <Override PartName="/xl/charts/chart6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17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harts/chart67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18.xml" ContentType="application/vnd.openxmlformats-officedocument.drawing+xml"/>
  <Override PartName="/xl/charts/chart7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19.xml" ContentType="application/vnd.openxmlformats-officedocument.drawing+xml"/>
  <Override PartName="/xl/charts/chart75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20.xml" ContentType="application/vnd.openxmlformats-officedocument.drawing+xml"/>
  <Override PartName="/xl/charts/chart79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80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81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82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21.xml" ContentType="application/vnd.openxmlformats-officedocument.drawing+xml"/>
  <Override PartName="/xl/charts/chart83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84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22.xml" ContentType="application/vnd.openxmlformats-officedocument.drawing+xml"/>
  <Override PartName="/xl/charts/chart85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86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87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88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23.xml" ContentType="application/vnd.openxmlformats-officedocument.drawing+xml"/>
  <Override PartName="/xl/charts/chart89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90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91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92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93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24.xml" ContentType="application/vnd.openxmlformats-officedocument.drawing+xml"/>
  <Override PartName="/xl/charts/chart94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95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96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97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25.xml" ContentType="application/vnd.openxmlformats-officedocument.drawing+xml"/>
  <Override PartName="/xl/charts/chart98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99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100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101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26.xml" ContentType="application/vnd.openxmlformats-officedocument.drawing+xml"/>
  <Override PartName="/xl/charts/chart102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103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104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105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27.xml" ContentType="application/vnd.openxmlformats-officedocument.drawing+xml"/>
  <Override PartName="/xl/charts/chart106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107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108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109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28.xml" ContentType="application/vnd.openxmlformats-officedocument.drawing+xml"/>
  <Override PartName="/xl/charts/chart110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111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112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113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114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anzonicocom-my.sharepoint.com/personal/office_franzoni-co_com/Documents/Finansial reports/"/>
    </mc:Choice>
  </mc:AlternateContent>
  <xr:revisionPtr revIDLastSave="21818" documentId="14_{0D7E8083-AA1D-4DCB-B49B-4A6FCA5B1339}" xr6:coauthVersionLast="47" xr6:coauthVersionMax="47" xr10:uidLastSave="{F5F5E18F-D2C0-4204-A419-5624697ED5BB}"/>
  <bookViews>
    <workbookView xWindow="-120" yWindow="-120" windowWidth="29040" windowHeight="17640" firstSheet="15" xr2:uid="{BE33F274-B6DD-43AB-8286-A40D29E50EEB}"/>
  </bookViews>
  <sheets>
    <sheet name="Total 2024" sheetId="50" r:id="rId1"/>
    <sheet name="Profit " sheetId="48" r:id="rId2"/>
    <sheet name="Bezpeļņas objekti" sheetId="33" r:id="rId3"/>
    <sheet name="SPICE" sheetId="34" r:id="rId4"/>
    <sheet name="HAM" sheetId="54" r:id="rId5"/>
    <sheet name="BERG" sheetId="41" r:id="rId6"/>
    <sheet name="WIE2" sheetId="51" r:id="rId7"/>
    <sheet name="MUN" sheetId="49" r:id="rId8"/>
    <sheet name="ING" sheetId="47" r:id="rId9"/>
    <sheet name="LULU2" sheetId="39" r:id="rId10"/>
    <sheet name="LIN" sheetId="46" r:id="rId11"/>
    <sheet name="WIE" sheetId="37" r:id="rId12"/>
    <sheet name="SEI" sheetId="55" r:id="rId13"/>
    <sheet name="KRE" sheetId="44" r:id="rId14"/>
    <sheet name="STK" sheetId="43" r:id="rId15"/>
    <sheet name="LULU" sheetId="42" r:id="rId16"/>
    <sheet name="FRA" sheetId="40" r:id="rId17"/>
    <sheet name="OLA" sheetId="38" r:id="rId18"/>
    <sheet name="MAT" sheetId="36" r:id="rId19"/>
    <sheet name="LEI" sheetId="20" r:id="rId20"/>
    <sheet name="STO" sheetId="28" r:id="rId21"/>
    <sheet name="WDON" sheetId="31" r:id="rId22"/>
    <sheet name="KLA" sheetId="32" r:id="rId23"/>
    <sheet name="GRA" sheetId="30" r:id="rId24"/>
    <sheet name="BRA" sheetId="22" r:id="rId25"/>
    <sheet name="VIL" sheetId="21" r:id="rId26"/>
    <sheet name="KOB" sheetId="18" r:id="rId27"/>
    <sheet name="SWR" sheetId="17" r:id="rId28"/>
    <sheet name="CALZ MOS" sheetId="4" r:id="rId29"/>
    <sheet name="INT GAL" sheetId="16" r:id="rId30"/>
  </sheets>
  <definedNames>
    <definedName name="_xlnm._FilterDatabase" localSheetId="1" hidden="1">'Profit '!$A$1:$D$26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1" l="1"/>
  <c r="D139" i="42"/>
  <c r="AB11" i="42"/>
  <c r="AB10" i="42"/>
  <c r="AB8" i="42"/>
  <c r="AB7" i="42"/>
  <c r="E8" i="37"/>
  <c r="E8" i="51"/>
  <c r="E8" i="44"/>
  <c r="AB4" i="50"/>
  <c r="AC23" i="50"/>
  <c r="AC4" i="50"/>
  <c r="AC3" i="50"/>
  <c r="AB23" i="50"/>
  <c r="AB13" i="50"/>
  <c r="AB12" i="50"/>
  <c r="AB5" i="50"/>
  <c r="AC5" i="50" s="1"/>
  <c r="AB3" i="50"/>
  <c r="AB2" i="50"/>
  <c r="L77" i="33"/>
  <c r="I77" i="33"/>
  <c r="AA23" i="50"/>
  <c r="Z23" i="50"/>
  <c r="Y23" i="50"/>
  <c r="X23" i="50"/>
  <c r="W23" i="50"/>
  <c r="V23" i="50"/>
  <c r="U23" i="50"/>
  <c r="T23" i="50"/>
  <c r="S23" i="50"/>
  <c r="R23" i="50"/>
  <c r="Q23" i="50"/>
  <c r="P23" i="50"/>
  <c r="O23" i="50"/>
  <c r="N23" i="50"/>
  <c r="M23" i="50"/>
  <c r="L23" i="50"/>
  <c r="K23" i="50"/>
  <c r="J23" i="50"/>
  <c r="I23" i="50"/>
  <c r="H23" i="50"/>
  <c r="G23" i="50"/>
  <c r="F23" i="50"/>
  <c r="E23" i="50"/>
  <c r="D23" i="50"/>
  <c r="C23" i="50"/>
  <c r="B23" i="50"/>
  <c r="L76" i="33"/>
  <c r="L80" i="33"/>
  <c r="G113" i="33"/>
  <c r="E113" i="33"/>
  <c r="I80" i="33"/>
  <c r="E8" i="54"/>
  <c r="J9" i="50"/>
  <c r="I9" i="50"/>
  <c r="Q7" i="40"/>
  <c r="Q8" i="40"/>
  <c r="Q9" i="40"/>
  <c r="Q10" i="40"/>
  <c r="Q11" i="40"/>
  <c r="Q12" i="40"/>
  <c r="Q13" i="40"/>
  <c r="Q14" i="40"/>
  <c r="Q15" i="40"/>
  <c r="Q16" i="40"/>
  <c r="Q17" i="40"/>
  <c r="Q6" i="40"/>
  <c r="Q4" i="40"/>
  <c r="M8" i="40"/>
  <c r="E17" i="54"/>
  <c r="G17" i="41"/>
  <c r="M5" i="41"/>
  <c r="E17" i="51"/>
  <c r="E4" i="54"/>
  <c r="I76" i="33"/>
  <c r="F80" i="33"/>
  <c r="F82" i="33"/>
  <c r="F77" i="33"/>
  <c r="F76" i="33" s="1"/>
  <c r="G9" i="41"/>
  <c r="E6" i="39"/>
  <c r="D51" i="39"/>
  <c r="T7" i="41"/>
  <c r="E13" i="54"/>
  <c r="E9" i="54"/>
  <c r="E51" i="39"/>
  <c r="K5" i="39"/>
  <c r="E4" i="39" s="1"/>
  <c r="E110" i="33"/>
  <c r="E28" i="48"/>
  <c r="C28" i="48"/>
  <c r="B28" i="48"/>
  <c r="A28" i="48"/>
  <c r="R22" i="54"/>
  <c r="E14" i="54"/>
  <c r="M17" i="40"/>
  <c r="G4" i="41"/>
  <c r="G6" i="41"/>
  <c r="T22" i="41"/>
  <c r="G14" i="41"/>
  <c r="G8" i="41"/>
  <c r="M7" i="54"/>
  <c r="W7" i="54"/>
  <c r="M16" i="40"/>
  <c r="G15" i="41"/>
  <c r="Q22" i="54"/>
  <c r="E15" i="54"/>
  <c r="E6" i="54"/>
  <c r="E8" i="49"/>
  <c r="E17" i="41"/>
  <c r="C17" i="54"/>
  <c r="E17" i="44"/>
  <c r="C17" i="46"/>
  <c r="P22" i="51"/>
  <c r="E14" i="51"/>
  <c r="W22" i="54"/>
  <c r="C15" i="54"/>
  <c r="O22" i="51"/>
  <c r="E15" i="41"/>
  <c r="E16" i="51"/>
  <c r="C14" i="51"/>
  <c r="C15" i="51"/>
  <c r="E4" i="51"/>
  <c r="C4" i="51"/>
  <c r="C113" i="33"/>
  <c r="C9" i="34"/>
  <c r="M7" i="34"/>
  <c r="O7" i="51"/>
  <c r="E9" i="51"/>
  <c r="I15" i="41"/>
  <c r="I16" i="41"/>
  <c r="I17" i="41"/>
  <c r="I14" i="41"/>
  <c r="I13" i="41"/>
  <c r="I9" i="41"/>
  <c r="I7" i="41"/>
  <c r="I8" i="41"/>
  <c r="I6" i="41"/>
  <c r="I4" i="41"/>
  <c r="E9" i="41"/>
  <c r="E13" i="41"/>
  <c r="R7" i="41"/>
  <c r="Q7" i="41"/>
  <c r="P7" i="41"/>
  <c r="M9" i="40"/>
  <c r="M13" i="40"/>
  <c r="P14" i="40"/>
  <c r="O12" i="40"/>
  <c r="O10" i="40"/>
  <c r="O11" i="40" s="1"/>
  <c r="P9" i="40"/>
  <c r="P6" i="40"/>
  <c r="O5" i="40"/>
  <c r="O18" i="40" s="1"/>
  <c r="P18" i="40" s="1"/>
  <c r="AH7" i="40"/>
  <c r="C13" i="54"/>
  <c r="C9" i="54"/>
  <c r="O7" i="54"/>
  <c r="N7" i="54"/>
  <c r="E13" i="51"/>
  <c r="P7" i="51"/>
  <c r="K8" i="40"/>
  <c r="I8" i="40"/>
  <c r="I6" i="40"/>
  <c r="E6" i="41"/>
  <c r="C120" i="33"/>
  <c r="C6" i="34"/>
  <c r="G12" i="41"/>
  <c r="H14" i="41"/>
  <c r="H6" i="41"/>
  <c r="M6" i="40"/>
  <c r="C6" i="54"/>
  <c r="G6" i="36"/>
  <c r="E7" i="51"/>
  <c r="C141" i="33"/>
  <c r="C110" i="33" s="1"/>
  <c r="E7" i="41"/>
  <c r="G114" i="33"/>
  <c r="Z126" i="33"/>
  <c r="Z125" i="33"/>
  <c r="O125" i="33"/>
  <c r="T123" i="33"/>
  <c r="K120" i="33"/>
  <c r="K119" i="33"/>
  <c r="K118" i="33"/>
  <c r="L118" i="33" s="1"/>
  <c r="J118" i="33"/>
  <c r="H118" i="33"/>
  <c r="F118" i="33"/>
  <c r="D118" i="33"/>
  <c r="K117" i="33"/>
  <c r="K112" i="33"/>
  <c r="Z111" i="33"/>
  <c r="K111" i="33"/>
  <c r="Z110" i="33"/>
  <c r="J110" i="33"/>
  <c r="H110" i="33"/>
  <c r="F110" i="33"/>
  <c r="N14" i="40"/>
  <c r="M12" i="40"/>
  <c r="N6" i="40"/>
  <c r="U5" i="40"/>
  <c r="M6" i="34"/>
  <c r="N6" i="34"/>
  <c r="O6" i="34"/>
  <c r="P6" i="34"/>
  <c r="Q6" i="34"/>
  <c r="W7" i="34"/>
  <c r="K21" i="34"/>
  <c r="W21" i="34"/>
  <c r="M21" i="34" s="1"/>
  <c r="K22" i="34"/>
  <c r="H20" i="34"/>
  <c r="G17" i="34"/>
  <c r="G16" i="34"/>
  <c r="M22" i="34"/>
  <c r="W22" i="34" s="1"/>
  <c r="G14" i="34"/>
  <c r="F14" i="34"/>
  <c r="D14" i="34"/>
  <c r="G13" i="34"/>
  <c r="E12" i="34"/>
  <c r="E10" i="34"/>
  <c r="E11" i="34" s="1"/>
  <c r="C10" i="34"/>
  <c r="G9" i="34"/>
  <c r="F9" i="34"/>
  <c r="C8" i="34"/>
  <c r="G8" i="34" s="1"/>
  <c r="K31" i="34" s="1"/>
  <c r="G7" i="34"/>
  <c r="F6" i="34"/>
  <c r="E5" i="34"/>
  <c r="E19" i="34" s="1"/>
  <c r="F19" i="34" s="1"/>
  <c r="C4" i="34"/>
  <c r="C7" i="54"/>
  <c r="E6" i="51"/>
  <c r="K16" i="47"/>
  <c r="C4" i="47"/>
  <c r="J10" i="42"/>
  <c r="C8" i="46"/>
  <c r="C17" i="41"/>
  <c r="E17" i="49"/>
  <c r="G8" i="28"/>
  <c r="C15" i="46"/>
  <c r="P22" i="44"/>
  <c r="C16" i="46"/>
  <c r="C15" i="41"/>
  <c r="E15" i="51"/>
  <c r="C16" i="41"/>
  <c r="K9" i="40"/>
  <c r="E17" i="37"/>
  <c r="C14" i="46"/>
  <c r="E17" i="55"/>
  <c r="C17" i="44"/>
  <c r="C17" i="37"/>
  <c r="Z15" i="37"/>
  <c r="Z14" i="37"/>
  <c r="E8" i="22"/>
  <c r="C13" i="41"/>
  <c r="C9" i="41" s="1"/>
  <c r="E13" i="37"/>
  <c r="E9" i="49"/>
  <c r="E13" i="49"/>
  <c r="G9" i="55"/>
  <c r="C9" i="46"/>
  <c r="V7" i="55"/>
  <c r="C13" i="46"/>
  <c r="G13" i="55"/>
  <c r="I7" i="55"/>
  <c r="I8" i="55"/>
  <c r="I9" i="55"/>
  <c r="I12" i="55"/>
  <c r="I13" i="55"/>
  <c r="I14" i="55"/>
  <c r="I15" i="55"/>
  <c r="I16" i="55"/>
  <c r="I17" i="55"/>
  <c r="I18" i="55"/>
  <c r="I6" i="55"/>
  <c r="I4" i="55"/>
  <c r="H14" i="55"/>
  <c r="H6" i="55"/>
  <c r="M7" i="46"/>
  <c r="C9" i="51"/>
  <c r="C13" i="51"/>
  <c r="M7" i="51"/>
  <c r="N7" i="51"/>
  <c r="E9" i="44"/>
  <c r="P7" i="44"/>
  <c r="O22" i="41"/>
  <c r="C17" i="51"/>
  <c r="C6" i="51"/>
  <c r="M6" i="36"/>
  <c r="E16" i="49"/>
  <c r="E6" i="49"/>
  <c r="C6" i="46"/>
  <c r="C16" i="49"/>
  <c r="G6" i="38"/>
  <c r="E8" i="55"/>
  <c r="K16" i="40"/>
  <c r="C8" i="41"/>
  <c r="M8" i="36"/>
  <c r="K8" i="36"/>
  <c r="I8" i="36"/>
  <c r="G8" i="36"/>
  <c r="C8" i="36"/>
  <c r="C4" i="54"/>
  <c r="M4" i="36"/>
  <c r="K4" i="36"/>
  <c r="I4" i="36"/>
  <c r="E4" i="36"/>
  <c r="G4" i="36"/>
  <c r="C7" i="51"/>
  <c r="K31" i="47"/>
  <c r="W21" i="54"/>
  <c r="G20" i="54"/>
  <c r="K17" i="40"/>
  <c r="M5" i="28"/>
  <c r="C8" i="47"/>
  <c r="P22" i="49"/>
  <c r="E14" i="49"/>
  <c r="C38" i="41"/>
  <c r="C6" i="41" s="1"/>
  <c r="C25" i="54"/>
  <c r="C24" i="54"/>
  <c r="C23" i="54"/>
  <c r="K6" i="54"/>
  <c r="C25" i="41"/>
  <c r="M26" i="41"/>
  <c r="Y6" i="41"/>
  <c r="M16" i="41"/>
  <c r="C24" i="41" s="1"/>
  <c r="M12" i="41"/>
  <c r="C23" i="41" s="1"/>
  <c r="M6" i="41"/>
  <c r="M4" i="41"/>
  <c r="I20" i="41" s="1"/>
  <c r="I16" i="40"/>
  <c r="E13" i="44"/>
  <c r="C13" i="47"/>
  <c r="C9" i="47"/>
  <c r="C7" i="47"/>
  <c r="C6" i="49"/>
  <c r="C7" i="37"/>
  <c r="C6" i="37"/>
  <c r="C7" i="55"/>
  <c r="C17" i="55"/>
  <c r="C6" i="55"/>
  <c r="C8" i="44"/>
  <c r="C6" i="47"/>
  <c r="C7" i="46"/>
  <c r="N23" i="37"/>
  <c r="M23" i="37"/>
  <c r="E8" i="30"/>
  <c r="E91" i="42"/>
  <c r="C24" i="42"/>
  <c r="M31" i="42"/>
  <c r="C24" i="44"/>
  <c r="C25" i="49"/>
  <c r="C25" i="37"/>
  <c r="C25" i="55"/>
  <c r="C25" i="46"/>
  <c r="C23" i="42"/>
  <c r="E95" i="42"/>
  <c r="E4" i="41"/>
  <c r="C4" i="41"/>
  <c r="E17" i="42"/>
  <c r="C17" i="49"/>
  <c r="C17" i="47"/>
  <c r="E7" i="37"/>
  <c r="D141" i="42"/>
  <c r="D142" i="42" s="1"/>
  <c r="G12" i="42"/>
  <c r="C17" i="42"/>
  <c r="G17" i="42"/>
  <c r="C6" i="42"/>
  <c r="D92" i="42"/>
  <c r="E5" i="42"/>
  <c r="E6" i="42"/>
  <c r="C5" i="42"/>
  <c r="E6" i="44"/>
  <c r="D120" i="42"/>
  <c r="E67" i="42"/>
  <c r="E51" i="42"/>
  <c r="E4" i="49"/>
  <c r="D140" i="42"/>
  <c r="I14" i="40"/>
  <c r="E6" i="55"/>
  <c r="G17" i="40"/>
  <c r="E17" i="40"/>
  <c r="C17" i="40"/>
  <c r="C9" i="49"/>
  <c r="I13" i="40"/>
  <c r="I9" i="40" s="1"/>
  <c r="C9" i="37"/>
  <c r="Y7" i="37"/>
  <c r="C13" i="37"/>
  <c r="C13" i="49"/>
  <c r="C13" i="44"/>
  <c r="C9" i="44"/>
  <c r="O7" i="44"/>
  <c r="E13" i="55"/>
  <c r="E9" i="55"/>
  <c r="L14" i="40"/>
  <c r="K12" i="40"/>
  <c r="K10" i="40"/>
  <c r="K11" i="40" s="1"/>
  <c r="L9" i="40"/>
  <c r="L6" i="40"/>
  <c r="K5" i="40"/>
  <c r="K18" i="40" s="1"/>
  <c r="L18" i="40" s="1"/>
  <c r="B11" i="48"/>
  <c r="B19" i="48"/>
  <c r="B27" i="48"/>
  <c r="B25" i="48"/>
  <c r="B26" i="48"/>
  <c r="B20" i="48"/>
  <c r="B17" i="48"/>
  <c r="B13" i="48"/>
  <c r="B12" i="48"/>
  <c r="B10" i="48"/>
  <c r="B7" i="48"/>
  <c r="B6" i="48"/>
  <c r="B3" i="48"/>
  <c r="B2" i="48"/>
  <c r="B8" i="48"/>
  <c r="B9" i="48"/>
  <c r="AA8" i="50"/>
  <c r="AA4" i="50"/>
  <c r="AA3" i="50"/>
  <c r="M21" i="54"/>
  <c r="K21" i="54"/>
  <c r="H20" i="54"/>
  <c r="G17" i="54"/>
  <c r="G16" i="54"/>
  <c r="G15" i="54"/>
  <c r="G14" i="54"/>
  <c r="F14" i="54"/>
  <c r="D14" i="54"/>
  <c r="G13" i="54"/>
  <c r="E10" i="54"/>
  <c r="E11" i="54" s="1"/>
  <c r="C10" i="54"/>
  <c r="G9" i="54"/>
  <c r="C8" i="54"/>
  <c r="G8" i="54" s="1"/>
  <c r="K31" i="54" s="1"/>
  <c r="G7" i="54"/>
  <c r="M6" i="54"/>
  <c r="G6" i="54"/>
  <c r="F6" i="54"/>
  <c r="D6" i="54"/>
  <c r="U8" i="50"/>
  <c r="U4" i="50"/>
  <c r="U3" i="50"/>
  <c r="Y22" i="41"/>
  <c r="Y21" i="41"/>
  <c r="O21" i="41"/>
  <c r="J20" i="41"/>
  <c r="F14" i="41"/>
  <c r="D14" i="41"/>
  <c r="E10" i="41"/>
  <c r="E11" i="41" s="1"/>
  <c r="C10" i="41"/>
  <c r="M31" i="41"/>
  <c r="Y7" i="41"/>
  <c r="U9" i="50" s="1"/>
  <c r="O6" i="41"/>
  <c r="M21" i="41"/>
  <c r="F6" i="41"/>
  <c r="D6" i="41"/>
  <c r="U2" i="50"/>
  <c r="Y8" i="50"/>
  <c r="Z8" i="50"/>
  <c r="Z4" i="50"/>
  <c r="Z3" i="50"/>
  <c r="X8" i="50"/>
  <c r="Y4" i="50"/>
  <c r="Y3" i="50"/>
  <c r="X4" i="50"/>
  <c r="X3" i="50"/>
  <c r="W4" i="50"/>
  <c r="W3" i="50"/>
  <c r="V4" i="50"/>
  <c r="V3" i="50"/>
  <c r="T4" i="50"/>
  <c r="T3" i="50"/>
  <c r="C25" i="51"/>
  <c r="C24" i="51"/>
  <c r="C23" i="51"/>
  <c r="G20" i="51"/>
  <c r="K6" i="51"/>
  <c r="M6" i="51"/>
  <c r="M21" i="51"/>
  <c r="W21" i="51"/>
  <c r="G17" i="51"/>
  <c r="G16" i="51"/>
  <c r="G15" i="51"/>
  <c r="F14" i="51"/>
  <c r="G13" i="51"/>
  <c r="E10" i="51"/>
  <c r="E11" i="51" s="1"/>
  <c r="C10" i="51"/>
  <c r="G9" i="51"/>
  <c r="G8" i="51"/>
  <c r="K31" i="51" s="1"/>
  <c r="W7" i="51"/>
  <c r="Z9" i="50" s="1"/>
  <c r="G7" i="51"/>
  <c r="F6" i="51"/>
  <c r="H20" i="51"/>
  <c r="C15" i="49"/>
  <c r="M22" i="49"/>
  <c r="O6" i="36"/>
  <c r="O7" i="36"/>
  <c r="O8" i="36"/>
  <c r="O9" i="36"/>
  <c r="O10" i="36"/>
  <c r="O11" i="36"/>
  <c r="O13" i="36"/>
  <c r="O14" i="36"/>
  <c r="O15" i="36"/>
  <c r="O16" i="36"/>
  <c r="O17" i="36"/>
  <c r="O18" i="36"/>
  <c r="O4" i="36"/>
  <c r="B23" i="48" s="1"/>
  <c r="S5" i="36"/>
  <c r="N14" i="36"/>
  <c r="M10" i="36"/>
  <c r="M11" i="36" s="1"/>
  <c r="N6" i="36"/>
  <c r="T25" i="55"/>
  <c r="E14" i="55"/>
  <c r="I17" i="40"/>
  <c r="G4" i="40"/>
  <c r="C8" i="37"/>
  <c r="C16" i="47"/>
  <c r="D118" i="42"/>
  <c r="C14" i="49"/>
  <c r="G6" i="40"/>
  <c r="G8" i="40"/>
  <c r="AF24" i="40"/>
  <c r="D91" i="42"/>
  <c r="D64" i="42"/>
  <c r="D65" i="42"/>
  <c r="D114" i="42"/>
  <c r="C15" i="47"/>
  <c r="G16" i="42"/>
  <c r="C25" i="47"/>
  <c r="C24" i="47"/>
  <c r="C23" i="47"/>
  <c r="G20" i="47"/>
  <c r="E16" i="42"/>
  <c r="P25" i="55"/>
  <c r="C14" i="55"/>
  <c r="Q25" i="55"/>
  <c r="AA25" i="55" s="1"/>
  <c r="M27" i="55" s="1"/>
  <c r="C15" i="55"/>
  <c r="M6" i="47"/>
  <c r="C24" i="49"/>
  <c r="C23" i="49"/>
  <c r="W21" i="49"/>
  <c r="W6" i="49"/>
  <c r="K16" i="49"/>
  <c r="K12" i="49"/>
  <c r="K6" i="49"/>
  <c r="D38" i="47"/>
  <c r="K6" i="47"/>
  <c r="D56" i="42"/>
  <c r="D57" i="42"/>
  <c r="D89" i="42"/>
  <c r="D107" i="42"/>
  <c r="X24" i="42"/>
  <c r="G15" i="42"/>
  <c r="C14" i="47"/>
  <c r="M53" i="42"/>
  <c r="C13" i="55"/>
  <c r="G13" i="42"/>
  <c r="C13" i="39"/>
  <c r="C9" i="39"/>
  <c r="G9" i="42"/>
  <c r="C9" i="55"/>
  <c r="G13" i="40"/>
  <c r="G9" i="40" s="1"/>
  <c r="I9" i="36"/>
  <c r="AF7" i="36"/>
  <c r="M21" i="49"/>
  <c r="M6" i="49"/>
  <c r="E44" i="49"/>
  <c r="E43" i="49"/>
  <c r="E45" i="49" s="1"/>
  <c r="D44" i="49"/>
  <c r="D43" i="49"/>
  <c r="D45" i="49" s="1"/>
  <c r="C44" i="49"/>
  <c r="F44" i="49" s="1"/>
  <c r="C43" i="49"/>
  <c r="F43" i="49" s="1"/>
  <c r="K4" i="49" s="1"/>
  <c r="W7" i="49"/>
  <c r="Y9" i="50" s="1"/>
  <c r="N21" i="49"/>
  <c r="K21" i="49"/>
  <c r="G17" i="49"/>
  <c r="G16" i="49"/>
  <c r="G15" i="49"/>
  <c r="F14" i="49"/>
  <c r="G13" i="49"/>
  <c r="E10" i="49"/>
  <c r="E11" i="49" s="1"/>
  <c r="C10" i="49"/>
  <c r="G9" i="49"/>
  <c r="G8" i="49"/>
  <c r="K22" i="49"/>
  <c r="G7" i="49"/>
  <c r="N6" i="49"/>
  <c r="F6" i="49"/>
  <c r="G7" i="42"/>
  <c r="D60" i="42"/>
  <c r="I12" i="40"/>
  <c r="I10" i="40"/>
  <c r="J6" i="40"/>
  <c r="O22" i="44"/>
  <c r="D63" i="42"/>
  <c r="L14" i="36"/>
  <c r="K12" i="36"/>
  <c r="K10" i="36"/>
  <c r="K11" i="36" s="1"/>
  <c r="L9" i="36"/>
  <c r="L6" i="36"/>
  <c r="K5" i="36"/>
  <c r="K19" i="36" s="1"/>
  <c r="L19" i="36" s="1"/>
  <c r="D53" i="42"/>
  <c r="Y21" i="47"/>
  <c r="M21" i="47" s="1"/>
  <c r="N21" i="47"/>
  <c r="K21" i="47"/>
  <c r="H20" i="47"/>
  <c r="G17" i="47"/>
  <c r="G16" i="47"/>
  <c r="G15" i="47"/>
  <c r="G14" i="47"/>
  <c r="M22" i="47" s="1"/>
  <c r="F14" i="47"/>
  <c r="D14" i="47"/>
  <c r="G13" i="47"/>
  <c r="E12" i="47"/>
  <c r="E10" i="47"/>
  <c r="E11" i="47" s="1"/>
  <c r="C10" i="47"/>
  <c r="G9" i="47"/>
  <c r="F9" i="47"/>
  <c r="G8" i="47"/>
  <c r="Y7" i="47"/>
  <c r="G7" i="47"/>
  <c r="N6" i="47"/>
  <c r="O6" i="47" s="1"/>
  <c r="G6" i="47"/>
  <c r="F6" i="47"/>
  <c r="D6" i="47"/>
  <c r="E5" i="47"/>
  <c r="E19" i="47" s="1"/>
  <c r="F19" i="47" s="1"/>
  <c r="K5" i="20"/>
  <c r="E8" i="20"/>
  <c r="M4" i="42"/>
  <c r="W24" i="42"/>
  <c r="E6" i="40"/>
  <c r="D41" i="39"/>
  <c r="D42" i="39"/>
  <c r="D43" i="39"/>
  <c r="C14" i="39" s="1"/>
  <c r="D44" i="39"/>
  <c r="D45" i="39"/>
  <c r="D40" i="39"/>
  <c r="D62" i="42"/>
  <c r="D66" i="42"/>
  <c r="I10" i="36"/>
  <c r="J14" i="36"/>
  <c r="J6" i="36"/>
  <c r="G17" i="36"/>
  <c r="M22" i="37"/>
  <c r="M6" i="37"/>
  <c r="C24" i="37"/>
  <c r="C23" i="37"/>
  <c r="G20" i="37"/>
  <c r="K26" i="37"/>
  <c r="X6" i="37"/>
  <c r="K16" i="37"/>
  <c r="K12" i="37"/>
  <c r="K6" i="37"/>
  <c r="S24" i="42"/>
  <c r="E15" i="42"/>
  <c r="V24" i="42"/>
  <c r="G8" i="38"/>
  <c r="H38" i="38"/>
  <c r="G9" i="36"/>
  <c r="G9" i="38"/>
  <c r="E9" i="42"/>
  <c r="E9" i="40"/>
  <c r="G12" i="40"/>
  <c r="B77" i="33"/>
  <c r="B90" i="33"/>
  <c r="D123" i="42"/>
  <c r="D124" i="42"/>
  <c r="D125" i="42"/>
  <c r="D126" i="42"/>
  <c r="D127" i="42"/>
  <c r="D128" i="42"/>
  <c r="D129" i="42"/>
  <c r="D130" i="42"/>
  <c r="D131" i="42"/>
  <c r="D132" i="42"/>
  <c r="D133" i="42"/>
  <c r="D134" i="42"/>
  <c r="D135" i="42"/>
  <c r="D136" i="42"/>
  <c r="D137" i="42"/>
  <c r="D138" i="42"/>
  <c r="D55" i="42"/>
  <c r="G8" i="42" s="1"/>
  <c r="V7" i="38"/>
  <c r="U7" i="38"/>
  <c r="D122" i="42"/>
  <c r="C8" i="38"/>
  <c r="E8" i="40"/>
  <c r="E13" i="40"/>
  <c r="Y7" i="40"/>
  <c r="D101" i="42"/>
  <c r="D116" i="42"/>
  <c r="X22" i="37"/>
  <c r="K21" i="37"/>
  <c r="C24" i="55"/>
  <c r="C23" i="55"/>
  <c r="I20" i="55"/>
  <c r="M21" i="55"/>
  <c r="AA24" i="55"/>
  <c r="P24" i="55" s="1"/>
  <c r="P6" i="55"/>
  <c r="K21" i="46"/>
  <c r="M21" i="46"/>
  <c r="X21" i="46"/>
  <c r="C24" i="46"/>
  <c r="C23" i="46"/>
  <c r="G20" i="46"/>
  <c r="M6" i="46"/>
  <c r="D113" i="42"/>
  <c r="D100" i="42"/>
  <c r="D115" i="42"/>
  <c r="K27" i="39"/>
  <c r="K28" i="39" s="1"/>
  <c r="K26" i="39"/>
  <c r="K22" i="39"/>
  <c r="X21" i="39"/>
  <c r="P21" i="39"/>
  <c r="M21" i="39"/>
  <c r="K21" i="39"/>
  <c r="H20" i="39"/>
  <c r="G17" i="39"/>
  <c r="G16" i="39"/>
  <c r="G15" i="39"/>
  <c r="G14" i="39"/>
  <c r="H14" i="39" s="1"/>
  <c r="F14" i="39"/>
  <c r="D14" i="39"/>
  <c r="G13" i="39"/>
  <c r="E12" i="39"/>
  <c r="E10" i="39"/>
  <c r="E11" i="39" s="1"/>
  <c r="C10" i="39"/>
  <c r="G9" i="39"/>
  <c r="F9" i="39"/>
  <c r="X7" i="39"/>
  <c r="G7" i="39"/>
  <c r="P6" i="39"/>
  <c r="M6" i="39"/>
  <c r="G6" i="39"/>
  <c r="F6" i="39"/>
  <c r="E5" i="39"/>
  <c r="E19" i="39" s="1"/>
  <c r="F19" i="39" s="1"/>
  <c r="C4" i="39"/>
  <c r="E4" i="37"/>
  <c r="C4" i="37"/>
  <c r="C4" i="46"/>
  <c r="H20" i="46"/>
  <c r="G17" i="46"/>
  <c r="G16" i="46"/>
  <c r="G15" i="46"/>
  <c r="M22" i="46" s="1"/>
  <c r="G14" i="46"/>
  <c r="F14" i="46"/>
  <c r="D14" i="46"/>
  <c r="G13" i="46"/>
  <c r="E10" i="46"/>
  <c r="E11" i="46" s="1"/>
  <c r="C10" i="46"/>
  <c r="G9" i="46"/>
  <c r="G8" i="46"/>
  <c r="K31" i="46" s="1"/>
  <c r="G7" i="46"/>
  <c r="G6" i="46"/>
  <c r="F6" i="46"/>
  <c r="D6" i="46"/>
  <c r="H20" i="37"/>
  <c r="G17" i="37"/>
  <c r="G16" i="37"/>
  <c r="G15" i="37"/>
  <c r="G14" i="37"/>
  <c r="H14" i="37" s="1"/>
  <c r="F14" i="37"/>
  <c r="D14" i="37"/>
  <c r="G13" i="37"/>
  <c r="E10" i="37"/>
  <c r="E11" i="37" s="1"/>
  <c r="C10" i="37"/>
  <c r="G9" i="37"/>
  <c r="G8" i="37"/>
  <c r="K31" i="37" s="1"/>
  <c r="G7" i="37"/>
  <c r="G6" i="37"/>
  <c r="F6" i="37"/>
  <c r="D6" i="37"/>
  <c r="E4" i="55"/>
  <c r="C4" i="55"/>
  <c r="E7" i="42"/>
  <c r="AB24" i="40"/>
  <c r="G16" i="38"/>
  <c r="E4" i="20"/>
  <c r="C4" i="20"/>
  <c r="D117" i="42"/>
  <c r="E8" i="38"/>
  <c r="D51" i="42"/>
  <c r="D67" i="42"/>
  <c r="D68" i="42"/>
  <c r="AD22" i="36"/>
  <c r="E15" i="40"/>
  <c r="U24" i="42"/>
  <c r="Z24" i="40"/>
  <c r="D111" i="42"/>
  <c r="D112" i="42"/>
  <c r="H14" i="36"/>
  <c r="H6" i="36"/>
  <c r="M4" i="28"/>
  <c r="C4" i="28"/>
  <c r="E6" i="36"/>
  <c r="R7" i="42"/>
  <c r="E6" i="38"/>
  <c r="T24" i="42"/>
  <c r="M26" i="44"/>
  <c r="S4" i="50"/>
  <c r="C23" i="44"/>
  <c r="C22" i="44"/>
  <c r="Z21" i="44"/>
  <c r="O21" i="44"/>
  <c r="M21" i="44"/>
  <c r="I19" i="44"/>
  <c r="O6" i="44"/>
  <c r="I17" i="44"/>
  <c r="I16" i="44"/>
  <c r="I15" i="44"/>
  <c r="G14" i="44"/>
  <c r="H14" i="44"/>
  <c r="E14" i="44"/>
  <c r="F14" i="44"/>
  <c r="I13" i="44"/>
  <c r="G10" i="44"/>
  <c r="G11" i="44"/>
  <c r="G12" i="44"/>
  <c r="E10" i="44"/>
  <c r="E11" i="44"/>
  <c r="H9" i="44"/>
  <c r="I8" i="44"/>
  <c r="M31" i="44" s="1"/>
  <c r="I7" i="44"/>
  <c r="H6" i="44"/>
  <c r="F6" i="44"/>
  <c r="G5" i="44"/>
  <c r="J19" i="44"/>
  <c r="J4" i="44"/>
  <c r="E4" i="44"/>
  <c r="C4" i="44"/>
  <c r="D50" i="42"/>
  <c r="Q21" i="50"/>
  <c r="Q20" i="50"/>
  <c r="R20" i="50"/>
  <c r="S20" i="50"/>
  <c r="S21" i="50"/>
  <c r="R8" i="50"/>
  <c r="R4" i="50"/>
  <c r="R3" i="50"/>
  <c r="R5" i="50" s="1"/>
  <c r="R15" i="50" s="1"/>
  <c r="R2" i="50"/>
  <c r="A22" i="48"/>
  <c r="J14" i="55"/>
  <c r="F14" i="55"/>
  <c r="D14" i="55"/>
  <c r="M31" i="55"/>
  <c r="R21" i="50" s="1"/>
  <c r="AA7" i="55"/>
  <c r="M28" i="55" s="1"/>
  <c r="F6" i="55"/>
  <c r="J20" i="55"/>
  <c r="C6" i="40"/>
  <c r="E17" i="20"/>
  <c r="D110" i="42"/>
  <c r="D61" i="42"/>
  <c r="E7" i="40"/>
  <c r="B88" i="33"/>
  <c r="B87" i="33" s="1"/>
  <c r="B78" i="33"/>
  <c r="D96" i="42"/>
  <c r="D97" i="42"/>
  <c r="D98" i="42"/>
  <c r="D99" i="42"/>
  <c r="D102" i="42"/>
  <c r="D104" i="42"/>
  <c r="D105" i="42"/>
  <c r="D106" i="42"/>
  <c r="D108" i="42"/>
  <c r="D109" i="42"/>
  <c r="D87" i="42"/>
  <c r="D88" i="42"/>
  <c r="D49" i="42"/>
  <c r="C16" i="42"/>
  <c r="E16" i="38"/>
  <c r="D95" i="42"/>
  <c r="D94" i="42"/>
  <c r="D76" i="42"/>
  <c r="D77" i="42"/>
  <c r="D78" i="42"/>
  <c r="D79" i="42"/>
  <c r="D80" i="42"/>
  <c r="D81" i="42"/>
  <c r="D54" i="42"/>
  <c r="D58" i="42"/>
  <c r="D59" i="42"/>
  <c r="E8" i="42" s="1"/>
  <c r="D69" i="42"/>
  <c r="D70" i="42"/>
  <c r="D71" i="42"/>
  <c r="D72" i="42"/>
  <c r="D73" i="42"/>
  <c r="D74" i="42"/>
  <c r="D75" i="42"/>
  <c r="D82" i="42"/>
  <c r="D48" i="42"/>
  <c r="E14" i="42" s="1"/>
  <c r="D47" i="42"/>
  <c r="C14" i="42"/>
  <c r="E17" i="36"/>
  <c r="I19" i="38"/>
  <c r="C8" i="40"/>
  <c r="U32" i="40" s="1"/>
  <c r="X7" i="40"/>
  <c r="AI7" i="40" s="1"/>
  <c r="Q7" i="42"/>
  <c r="P7" i="42"/>
  <c r="O7" i="42"/>
  <c r="C9" i="42"/>
  <c r="E9" i="38"/>
  <c r="T7" i="38"/>
  <c r="S7" i="38"/>
  <c r="R7" i="38"/>
  <c r="Q7" i="38"/>
  <c r="E9" i="36"/>
  <c r="O5" i="30"/>
  <c r="C8" i="20"/>
  <c r="C15" i="40"/>
  <c r="Q24" i="42"/>
  <c r="D83" i="42"/>
  <c r="D84" i="42"/>
  <c r="D85" i="42"/>
  <c r="D86" i="42"/>
  <c r="D90" i="42"/>
  <c r="E8" i="36"/>
  <c r="C15" i="42"/>
  <c r="W24" i="40"/>
  <c r="C14" i="40"/>
  <c r="G45" i="33"/>
  <c r="S4" i="36"/>
  <c r="C6" i="38"/>
  <c r="C15" i="20"/>
  <c r="C17" i="36"/>
  <c r="C16" i="38"/>
  <c r="C17" i="20"/>
  <c r="C17" i="43"/>
  <c r="C5" i="31"/>
  <c r="D9" i="31"/>
  <c r="G13" i="31"/>
  <c r="M25" i="20"/>
  <c r="C14" i="20"/>
  <c r="O23" i="43"/>
  <c r="O25" i="20"/>
  <c r="X7" i="36"/>
  <c r="V7" i="36"/>
  <c r="W7" i="36"/>
  <c r="C9" i="36"/>
  <c r="C9" i="38"/>
  <c r="P7" i="38"/>
  <c r="P7" i="20"/>
  <c r="O7" i="20"/>
  <c r="N7" i="20"/>
  <c r="M7" i="20"/>
  <c r="C9" i="20"/>
  <c r="C6" i="20"/>
  <c r="AC10" i="33"/>
  <c r="K12" i="33"/>
  <c r="K13" i="33"/>
  <c r="K14" i="33"/>
  <c r="K15" i="33"/>
  <c r="K7" i="33"/>
  <c r="K8" i="33"/>
  <c r="I9" i="33"/>
  <c r="C13" i="43"/>
  <c r="C9" i="43"/>
  <c r="O7" i="43"/>
  <c r="F43" i="42"/>
  <c r="F42" i="42"/>
  <c r="F44" i="42"/>
  <c r="C42" i="42"/>
  <c r="C15" i="43"/>
  <c r="C6" i="43"/>
  <c r="C22" i="42"/>
  <c r="M26" i="42"/>
  <c r="C24" i="40"/>
  <c r="C23" i="40"/>
  <c r="C22" i="40"/>
  <c r="Q19" i="40"/>
  <c r="R19" i="40" s="1"/>
  <c r="U17" i="40"/>
  <c r="U27" i="40"/>
  <c r="U6" i="40"/>
  <c r="I16" i="43"/>
  <c r="D14" i="43"/>
  <c r="O20" i="43"/>
  <c r="M4" i="43"/>
  <c r="M23" i="43"/>
  <c r="M22" i="43"/>
  <c r="C6" i="36"/>
  <c r="G20" i="20"/>
  <c r="C25" i="20"/>
  <c r="C24" i="20"/>
  <c r="C23" i="20"/>
  <c r="B40" i="42"/>
  <c r="C38" i="42"/>
  <c r="E38" i="42"/>
  <c r="D38" i="42"/>
  <c r="P8" i="50"/>
  <c r="P4" i="50"/>
  <c r="U22" i="40"/>
  <c r="Z23" i="42"/>
  <c r="M21" i="42"/>
  <c r="O23" i="42"/>
  <c r="O6" i="42"/>
  <c r="I16" i="42"/>
  <c r="H14" i="42"/>
  <c r="F14" i="42"/>
  <c r="F39" i="40"/>
  <c r="E39" i="40"/>
  <c r="D39" i="40"/>
  <c r="E43" i="33"/>
  <c r="O8" i="50"/>
  <c r="O4" i="50"/>
  <c r="O3" i="50"/>
  <c r="W6" i="40"/>
  <c r="F14" i="40"/>
  <c r="D14" i="40"/>
  <c r="G16" i="40"/>
  <c r="D6" i="40"/>
  <c r="F6" i="40"/>
  <c r="H6" i="40"/>
  <c r="C10" i="40"/>
  <c r="E10" i="40"/>
  <c r="G10" i="40"/>
  <c r="C11" i="40"/>
  <c r="E11" i="40"/>
  <c r="G11" i="40"/>
  <c r="U28" i="40"/>
  <c r="U29" i="40" s="1"/>
  <c r="AI23" i="40"/>
  <c r="W23" i="40"/>
  <c r="K4" i="33"/>
  <c r="C24" i="38"/>
  <c r="C23" i="38"/>
  <c r="C22" i="38"/>
  <c r="M30" i="38"/>
  <c r="M21" i="38"/>
  <c r="W6" i="38"/>
  <c r="V6" i="38"/>
  <c r="U6" i="38"/>
  <c r="T6" i="38"/>
  <c r="O6" i="38"/>
  <c r="Z6" i="38"/>
  <c r="N4" i="50"/>
  <c r="N3" i="50"/>
  <c r="M4" i="50"/>
  <c r="M3" i="50"/>
  <c r="L4" i="50"/>
  <c r="L3" i="50"/>
  <c r="G4" i="38"/>
  <c r="E4" i="38"/>
  <c r="C4" i="38"/>
  <c r="I16" i="33"/>
  <c r="I6" i="33"/>
  <c r="J53" i="33"/>
  <c r="I49" i="33"/>
  <c r="I50" i="33"/>
  <c r="I51" i="33"/>
  <c r="J48" i="33"/>
  <c r="J45" i="33"/>
  <c r="I44" i="33"/>
  <c r="I56" i="33"/>
  <c r="J56" i="33"/>
  <c r="J14" i="33"/>
  <c r="J6" i="33"/>
  <c r="E4" i="28"/>
  <c r="I4" i="28"/>
  <c r="B18" i="48" s="1"/>
  <c r="I7" i="38"/>
  <c r="I8" i="38"/>
  <c r="M31" i="38"/>
  <c r="I9" i="38"/>
  <c r="I13" i="38"/>
  <c r="I14" i="38"/>
  <c r="I15" i="38"/>
  <c r="I16" i="38"/>
  <c r="I6" i="38"/>
  <c r="H14" i="38"/>
  <c r="G10" i="38"/>
  <c r="G11" i="38"/>
  <c r="H6" i="38"/>
  <c r="Z6" i="28"/>
  <c r="J19" i="38"/>
  <c r="M27" i="38"/>
  <c r="M28" i="38"/>
  <c r="M26" i="38"/>
  <c r="AB3" i="28"/>
  <c r="C7" i="20"/>
  <c r="E17" i="22"/>
  <c r="K5" i="21"/>
  <c r="C47" i="33"/>
  <c r="E9" i="22"/>
  <c r="G9" i="33"/>
  <c r="C48" i="33"/>
  <c r="C8" i="21"/>
  <c r="C8" i="31"/>
  <c r="AA7" i="16"/>
  <c r="AA7" i="4"/>
  <c r="Z7" i="17"/>
  <c r="Y7" i="18"/>
  <c r="Y7" i="21"/>
  <c r="AA7" i="22"/>
  <c r="Y7" i="32"/>
  <c r="C25" i="36"/>
  <c r="C24" i="36"/>
  <c r="C23" i="36"/>
  <c r="S12" i="36"/>
  <c r="C55" i="33"/>
  <c r="S27" i="36"/>
  <c r="S28" i="36"/>
  <c r="S26" i="36"/>
  <c r="S22" i="36"/>
  <c r="S21" i="36"/>
  <c r="E9" i="32"/>
  <c r="E18" i="30"/>
  <c r="G6" i="4"/>
  <c r="E13" i="22"/>
  <c r="R7" i="22"/>
  <c r="C6" i="33"/>
  <c r="C6" i="22"/>
  <c r="M6" i="32"/>
  <c r="X6" i="32"/>
  <c r="E4" i="32"/>
  <c r="C4" i="32"/>
  <c r="K5" i="32"/>
  <c r="E14" i="22"/>
  <c r="S24" i="22"/>
  <c r="Z6" i="22"/>
  <c r="M24" i="20"/>
  <c r="P6" i="20"/>
  <c r="M6" i="20"/>
  <c r="C14" i="21"/>
  <c r="G16" i="33"/>
  <c r="G6" i="33"/>
  <c r="C16" i="31"/>
  <c r="H20" i="20"/>
  <c r="G16" i="20"/>
  <c r="X24" i="20"/>
  <c r="C45" i="33"/>
  <c r="C6" i="21"/>
  <c r="C6" i="31"/>
  <c r="E12" i="20"/>
  <c r="Q24" i="20"/>
  <c r="K26" i="20"/>
  <c r="K21" i="20"/>
  <c r="G6" i="16"/>
  <c r="C14" i="31"/>
  <c r="C9" i="31"/>
  <c r="C9" i="21"/>
  <c r="C13" i="21"/>
  <c r="X6" i="21"/>
  <c r="O7" i="21"/>
  <c r="N7" i="31"/>
  <c r="M7" i="31"/>
  <c r="E14" i="30"/>
  <c r="E9" i="30"/>
  <c r="S7" i="30"/>
  <c r="M31" i="28"/>
  <c r="E6" i="30"/>
  <c r="M25" i="31"/>
  <c r="C15" i="31"/>
  <c r="N25" i="31"/>
  <c r="D51" i="22"/>
  <c r="D52" i="22"/>
  <c r="D50" i="22"/>
  <c r="C52" i="22"/>
  <c r="B52" i="22"/>
  <c r="J46" i="22"/>
  <c r="J43" i="22"/>
  <c r="J44" i="22"/>
  <c r="J42" i="22"/>
  <c r="I44" i="22"/>
  <c r="M16" i="22"/>
  <c r="M12" i="22"/>
  <c r="M5" i="22"/>
  <c r="E4" i="22"/>
  <c r="M4" i="22"/>
  <c r="E7" i="30"/>
  <c r="E6" i="22"/>
  <c r="C6" i="30"/>
  <c r="C18" i="30"/>
  <c r="C17" i="22"/>
  <c r="E17" i="18"/>
  <c r="C17" i="32"/>
  <c r="R24" i="22"/>
  <c r="E9" i="33"/>
  <c r="E15" i="22"/>
  <c r="E9" i="18"/>
  <c r="P7" i="18"/>
  <c r="C24" i="18"/>
  <c r="C23" i="18"/>
  <c r="C22" i="18"/>
  <c r="G19" i="18"/>
  <c r="C25" i="30"/>
  <c r="C24" i="30"/>
  <c r="C23" i="30"/>
  <c r="K20" i="30"/>
  <c r="O17" i="30"/>
  <c r="O12" i="30"/>
  <c r="AB6" i="30"/>
  <c r="K12" i="18"/>
  <c r="K16" i="18"/>
  <c r="X6" i="18"/>
  <c r="K22" i="18"/>
  <c r="H53" i="33"/>
  <c r="G49" i="33"/>
  <c r="G50" i="33"/>
  <c r="G51" i="33"/>
  <c r="H48" i="33"/>
  <c r="H45" i="33"/>
  <c r="G44" i="33"/>
  <c r="G56" i="33"/>
  <c r="H56" i="33"/>
  <c r="H14" i="33"/>
  <c r="H6" i="33"/>
  <c r="E13" i="18"/>
  <c r="C6" i="18"/>
  <c r="E6" i="18"/>
  <c r="E8" i="18"/>
  <c r="P23" i="18"/>
  <c r="E14" i="18"/>
  <c r="C16" i="22"/>
  <c r="M23" i="32"/>
  <c r="I16" i="22"/>
  <c r="E4" i="30"/>
  <c r="C4" i="30"/>
  <c r="C8" i="30"/>
  <c r="C8" i="32"/>
  <c r="C6" i="28"/>
  <c r="C15" i="32"/>
  <c r="E9" i="4"/>
  <c r="E13" i="4"/>
  <c r="Q7" i="4"/>
  <c r="Z7" i="4"/>
  <c r="C9" i="22"/>
  <c r="Q7" i="22"/>
  <c r="P7" i="22"/>
  <c r="O7" i="22"/>
  <c r="C9" i="32"/>
  <c r="M7" i="32"/>
  <c r="E10" i="18"/>
  <c r="X7" i="18"/>
  <c r="O7" i="18"/>
  <c r="N7" i="18"/>
  <c r="C9" i="30"/>
  <c r="C13" i="32"/>
  <c r="G16" i="32"/>
  <c r="D14" i="32"/>
  <c r="C8" i="22"/>
  <c r="C15" i="22"/>
  <c r="E6" i="33"/>
  <c r="C14" i="22"/>
  <c r="D14" i="22"/>
  <c r="I20" i="28"/>
  <c r="C21" i="50"/>
  <c r="C20" i="50"/>
  <c r="C19" i="50"/>
  <c r="C22" i="50"/>
  <c r="K20" i="50"/>
  <c r="K4" i="50"/>
  <c r="K3" i="50"/>
  <c r="J21" i="50"/>
  <c r="J20" i="50"/>
  <c r="J19" i="50"/>
  <c r="J22" i="50"/>
  <c r="J4" i="50"/>
  <c r="J3" i="50"/>
  <c r="I21" i="50"/>
  <c r="I20" i="50"/>
  <c r="I19" i="50"/>
  <c r="I22" i="50"/>
  <c r="I4" i="50"/>
  <c r="I3" i="50"/>
  <c r="H21" i="50"/>
  <c r="H20" i="50"/>
  <c r="H19" i="50"/>
  <c r="H22" i="50"/>
  <c r="H4" i="50"/>
  <c r="H3" i="50"/>
  <c r="G21" i="50"/>
  <c r="G20" i="50"/>
  <c r="G19" i="50"/>
  <c r="G22" i="50"/>
  <c r="G4" i="50"/>
  <c r="G3" i="50"/>
  <c r="F21" i="50"/>
  <c r="F20" i="50"/>
  <c r="F19" i="50"/>
  <c r="F22" i="50"/>
  <c r="F4" i="50"/>
  <c r="F3" i="50"/>
  <c r="E21" i="50"/>
  <c r="E20" i="50"/>
  <c r="E19" i="50"/>
  <c r="E22" i="50"/>
  <c r="E4" i="50"/>
  <c r="E3" i="50"/>
  <c r="D20" i="50"/>
  <c r="B21" i="50"/>
  <c r="B20" i="50"/>
  <c r="D4" i="50"/>
  <c r="D3" i="50"/>
  <c r="B4" i="50"/>
  <c r="B3" i="50"/>
  <c r="C4" i="50"/>
  <c r="C3" i="50"/>
  <c r="Z61" i="33"/>
  <c r="Z60" i="33"/>
  <c r="O60" i="33"/>
  <c r="T58" i="33"/>
  <c r="K55" i="33"/>
  <c r="K54" i="33"/>
  <c r="K53" i="33"/>
  <c r="L53" i="33"/>
  <c r="F53" i="33"/>
  <c r="D53" i="33"/>
  <c r="K52" i="33"/>
  <c r="E49" i="33"/>
  <c r="E50" i="33"/>
  <c r="E51" i="33"/>
  <c r="F48" i="33"/>
  <c r="T47" i="33"/>
  <c r="Z47" i="33"/>
  <c r="K47" i="33"/>
  <c r="Z46" i="33"/>
  <c r="K46" i="33"/>
  <c r="Z45" i="33"/>
  <c r="F45" i="33"/>
  <c r="AC44" i="33"/>
  <c r="E44" i="33"/>
  <c r="E56" i="33"/>
  <c r="F56" i="33"/>
  <c r="AC43" i="33"/>
  <c r="C43" i="33"/>
  <c r="K43" i="33"/>
  <c r="P24" i="22"/>
  <c r="C14" i="32"/>
  <c r="E15" i="18"/>
  <c r="O23" i="18"/>
  <c r="Q24" i="22"/>
  <c r="E17" i="4"/>
  <c r="C6" i="32"/>
  <c r="K4" i="32"/>
  <c r="B43" i="28"/>
  <c r="B42" i="28"/>
  <c r="B41" i="28"/>
  <c r="B40" i="28"/>
  <c r="B39" i="28"/>
  <c r="C16" i="33"/>
  <c r="K16" i="33"/>
  <c r="I16" i="28"/>
  <c r="I17" i="28"/>
  <c r="M22" i="28"/>
  <c r="J20" i="28"/>
  <c r="Z23" i="28"/>
  <c r="M18" i="28"/>
  <c r="C25" i="22"/>
  <c r="C24" i="22"/>
  <c r="I20" i="22"/>
  <c r="C23" i="22"/>
  <c r="M18" i="22"/>
  <c r="M6" i="22"/>
  <c r="M22" i="22"/>
  <c r="O24" i="22"/>
  <c r="Z23" i="22"/>
  <c r="J20" i="22"/>
  <c r="L20" i="30"/>
  <c r="O23" i="30"/>
  <c r="Q24" i="30"/>
  <c r="O28" i="30"/>
  <c r="AB23" i="30"/>
  <c r="O19" i="30"/>
  <c r="G19" i="32"/>
  <c r="H19" i="32"/>
  <c r="C24" i="32"/>
  <c r="C23" i="32"/>
  <c r="C22" i="32"/>
  <c r="K27" i="32"/>
  <c r="X22" i="32"/>
  <c r="K22" i="32"/>
  <c r="K18" i="32"/>
  <c r="G4" i="32"/>
  <c r="C7" i="22"/>
  <c r="C26" i="31"/>
  <c r="C25" i="31"/>
  <c r="C24" i="31"/>
  <c r="G18" i="31"/>
  <c r="X24" i="31"/>
  <c r="C4" i="31"/>
  <c r="G4" i="31"/>
  <c r="G21" i="31"/>
  <c r="H21" i="31"/>
  <c r="K19" i="31"/>
  <c r="K6" i="31"/>
  <c r="K23" i="31"/>
  <c r="C4" i="22"/>
  <c r="I4" i="22"/>
  <c r="H19" i="18"/>
  <c r="E4" i="18"/>
  <c r="C4" i="18"/>
  <c r="G4" i="18"/>
  <c r="X22" i="18"/>
  <c r="K6" i="18"/>
  <c r="K18" i="18"/>
  <c r="C17" i="16"/>
  <c r="B44" i="4"/>
  <c r="C60" i="4"/>
  <c r="X23" i="21"/>
  <c r="D14" i="21"/>
  <c r="G19" i="21"/>
  <c r="H19" i="21"/>
  <c r="C24" i="21"/>
  <c r="C23" i="21"/>
  <c r="C22" i="21"/>
  <c r="K22" i="21"/>
  <c r="K18" i="21"/>
  <c r="C4" i="21"/>
  <c r="G4" i="21"/>
  <c r="Z23" i="4"/>
  <c r="G5" i="17"/>
  <c r="C5" i="17"/>
  <c r="H14" i="17"/>
  <c r="H9" i="17"/>
  <c r="C24" i="16"/>
  <c r="I20" i="4"/>
  <c r="J20" i="4"/>
  <c r="C13" i="4"/>
  <c r="C9" i="4"/>
  <c r="C4" i="4"/>
  <c r="I4" i="4"/>
  <c r="C25" i="4"/>
  <c r="C24" i="4"/>
  <c r="C23" i="4"/>
  <c r="N24" i="17"/>
  <c r="Y24" i="17"/>
  <c r="D4" i="17"/>
  <c r="H4" i="17"/>
  <c r="C9" i="17"/>
  <c r="C13" i="17"/>
  <c r="C16" i="17"/>
  <c r="G16" i="17"/>
  <c r="C25" i="17"/>
  <c r="C24" i="17"/>
  <c r="C23" i="17"/>
  <c r="G20" i="17"/>
  <c r="H20" i="17"/>
  <c r="C4" i="17"/>
  <c r="G4" i="17"/>
  <c r="K22" i="17"/>
  <c r="K18" i="17"/>
  <c r="K28" i="17"/>
  <c r="K27" i="17"/>
  <c r="Z6" i="4"/>
  <c r="C22" i="16"/>
  <c r="I19" i="16"/>
  <c r="J19" i="16"/>
  <c r="C4" i="16"/>
  <c r="I4" i="16"/>
  <c r="Z25" i="16"/>
  <c r="M16" i="16"/>
  <c r="C23" i="16"/>
  <c r="Z6" i="16"/>
  <c r="P24" i="4"/>
  <c r="C17" i="4"/>
  <c r="C15" i="4"/>
  <c r="C16" i="4"/>
  <c r="I16" i="4"/>
  <c r="C14" i="4"/>
  <c r="D14" i="4"/>
  <c r="E12" i="30"/>
  <c r="C9" i="33"/>
  <c r="K9" i="33"/>
  <c r="C15" i="30"/>
  <c r="L43" i="16"/>
  <c r="L42" i="16"/>
  <c r="B42" i="16"/>
  <c r="B43" i="16"/>
  <c r="M24" i="21"/>
  <c r="C8" i="4"/>
  <c r="C17" i="17"/>
  <c r="D14" i="17"/>
  <c r="C17" i="21"/>
  <c r="C6" i="17"/>
  <c r="N24" i="21"/>
  <c r="C15" i="21"/>
  <c r="O24" i="4"/>
  <c r="O26" i="16"/>
  <c r="P26" i="16"/>
  <c r="C17" i="18"/>
  <c r="C8" i="18"/>
  <c r="C56" i="16"/>
  <c r="C57" i="16"/>
  <c r="C6" i="16"/>
  <c r="C61" i="4"/>
  <c r="C6" i="4"/>
  <c r="C9" i="18"/>
  <c r="M7" i="18"/>
  <c r="N7" i="21"/>
  <c r="C13" i="16"/>
  <c r="C9" i="16"/>
  <c r="M6" i="31"/>
  <c r="M22" i="32"/>
  <c r="Q23" i="30"/>
  <c r="R6" i="30"/>
  <c r="C12" i="31"/>
  <c r="C12" i="30"/>
  <c r="C12" i="32"/>
  <c r="B44" i="22"/>
  <c r="C15" i="18"/>
  <c r="E43" i="22"/>
  <c r="E42" i="22"/>
  <c r="C43" i="22"/>
  <c r="D43" i="22"/>
  <c r="D42" i="22"/>
  <c r="C42" i="22"/>
  <c r="F42" i="22"/>
  <c r="O23" i="22"/>
  <c r="O6" i="22"/>
  <c r="F8" i="50"/>
  <c r="M22" i="18"/>
  <c r="N6" i="17"/>
  <c r="O23" i="4"/>
  <c r="O6" i="4"/>
  <c r="M6" i="16"/>
  <c r="M27" i="16"/>
  <c r="O25" i="16"/>
  <c r="O6" i="16"/>
  <c r="B41" i="16"/>
  <c r="C39" i="16"/>
  <c r="C39" i="4"/>
  <c r="I6" i="28"/>
  <c r="I7" i="28"/>
  <c r="B41" i="4"/>
  <c r="AA21" i="50"/>
  <c r="AA20" i="50"/>
  <c r="Z21" i="50"/>
  <c r="Z20" i="50"/>
  <c r="Y21" i="50"/>
  <c r="Y20" i="50"/>
  <c r="Y22" i="50"/>
  <c r="X21" i="50"/>
  <c r="X20" i="50"/>
  <c r="W21" i="50"/>
  <c r="W20" i="50"/>
  <c r="V21" i="50"/>
  <c r="V20" i="50"/>
  <c r="V22" i="50"/>
  <c r="U21" i="50"/>
  <c r="AA2" i="50"/>
  <c r="AA22" i="50"/>
  <c r="A4" i="48"/>
  <c r="I6" i="43"/>
  <c r="I7" i="43"/>
  <c r="I8" i="43"/>
  <c r="I9" i="43"/>
  <c r="I13" i="43"/>
  <c r="I14" i="43"/>
  <c r="I15" i="43"/>
  <c r="I17" i="43"/>
  <c r="J14" i="43"/>
  <c r="V8" i="50"/>
  <c r="Z7" i="43"/>
  <c r="Z2" i="50"/>
  <c r="Y2" i="50"/>
  <c r="X2" i="50"/>
  <c r="A5" i="48"/>
  <c r="A14" i="48"/>
  <c r="W8" i="50"/>
  <c r="W2" i="50"/>
  <c r="V2" i="50"/>
  <c r="Z22" i="44"/>
  <c r="G17" i="20"/>
  <c r="T20" i="50"/>
  <c r="T8" i="50"/>
  <c r="T2" i="50"/>
  <c r="S8" i="50"/>
  <c r="S2" i="50"/>
  <c r="Q8" i="50"/>
  <c r="Q2" i="50"/>
  <c r="O6" i="43"/>
  <c r="N8" i="50"/>
  <c r="P20" i="50"/>
  <c r="O20" i="50"/>
  <c r="N20" i="50"/>
  <c r="L21" i="50"/>
  <c r="M20" i="50"/>
  <c r="L20" i="50"/>
  <c r="L19" i="50"/>
  <c r="L22" i="50"/>
  <c r="P2" i="50"/>
  <c r="O2" i="50"/>
  <c r="M2" i="50"/>
  <c r="N2" i="50"/>
  <c r="L2" i="50"/>
  <c r="L8" i="50"/>
  <c r="G12" i="28"/>
  <c r="E12" i="28"/>
  <c r="I8" i="28"/>
  <c r="M32" i="28"/>
  <c r="K21" i="50"/>
  <c r="I9" i="28"/>
  <c r="I13" i="28"/>
  <c r="I14" i="28"/>
  <c r="I15" i="28"/>
  <c r="I18" i="28"/>
  <c r="H14" i="28"/>
  <c r="H6" i="28"/>
  <c r="K8" i="50"/>
  <c r="K2" i="50"/>
  <c r="AB7" i="30"/>
  <c r="O24" i="30"/>
  <c r="Z21" i="30"/>
  <c r="AA21" i="30"/>
  <c r="K7" i="30"/>
  <c r="K8" i="30"/>
  <c r="K9" i="30"/>
  <c r="K14" i="30"/>
  <c r="K15" i="30"/>
  <c r="K16" i="30"/>
  <c r="K18" i="30"/>
  <c r="K6" i="30"/>
  <c r="O14" i="30"/>
  <c r="J15" i="30"/>
  <c r="J6" i="30"/>
  <c r="I4" i="30"/>
  <c r="Z7" i="33"/>
  <c r="Q22" i="31"/>
  <c r="G6" i="31"/>
  <c r="G7" i="31"/>
  <c r="G9" i="31"/>
  <c r="C10" i="31"/>
  <c r="C11" i="31"/>
  <c r="G14" i="31"/>
  <c r="G15" i="31"/>
  <c r="G16" i="31"/>
  <c r="G8" i="32"/>
  <c r="G17" i="32"/>
  <c r="G15" i="32"/>
  <c r="C10" i="30"/>
  <c r="E10" i="30"/>
  <c r="G10" i="30"/>
  <c r="C11" i="30"/>
  <c r="E11" i="30"/>
  <c r="G11" i="30"/>
  <c r="G12" i="30"/>
  <c r="D21" i="50"/>
  <c r="I8" i="50"/>
  <c r="J8" i="50"/>
  <c r="G4" i="30"/>
  <c r="H15" i="30"/>
  <c r="G5" i="30"/>
  <c r="G19" i="30"/>
  <c r="H19" i="30"/>
  <c r="H6" i="30"/>
  <c r="H9" i="30"/>
  <c r="N22" i="32"/>
  <c r="O22" i="32"/>
  <c r="A6" i="48"/>
  <c r="J2" i="50"/>
  <c r="I2" i="50"/>
  <c r="H8" i="50"/>
  <c r="I6" i="4"/>
  <c r="I7" i="4"/>
  <c r="G17" i="18"/>
  <c r="M23" i="4"/>
  <c r="A20" i="48"/>
  <c r="H2" i="50"/>
  <c r="S23" i="30"/>
  <c r="T23" i="30"/>
  <c r="U23" i="30"/>
  <c r="G4" i="4"/>
  <c r="H4" i="18"/>
  <c r="D4" i="18"/>
  <c r="G2" i="50"/>
  <c r="F2" i="50"/>
  <c r="D4" i="16"/>
  <c r="I8" i="4"/>
  <c r="I14" i="4"/>
  <c r="H14" i="4"/>
  <c r="G10" i="4"/>
  <c r="G11" i="4"/>
  <c r="G12" i="4"/>
  <c r="H9" i="4"/>
  <c r="H6" i="4"/>
  <c r="G5" i="4"/>
  <c r="G19" i="4"/>
  <c r="H19" i="4"/>
  <c r="I13" i="4"/>
  <c r="E9" i="50"/>
  <c r="E8" i="50"/>
  <c r="E2" i="50"/>
  <c r="K23" i="18"/>
  <c r="I17" i="4"/>
  <c r="I15" i="4"/>
  <c r="R22" i="17"/>
  <c r="Q22" i="17"/>
  <c r="P22" i="17"/>
  <c r="O22" i="17"/>
  <c r="N22" i="17"/>
  <c r="D2" i="50"/>
  <c r="I9" i="4"/>
  <c r="I7" i="16"/>
  <c r="I8" i="16"/>
  <c r="I9" i="16"/>
  <c r="I13" i="16"/>
  <c r="I14" i="16"/>
  <c r="I15" i="16"/>
  <c r="I17" i="16"/>
  <c r="I6" i="16"/>
  <c r="H14" i="16"/>
  <c r="G10" i="16"/>
  <c r="G11" i="16"/>
  <c r="G12" i="16"/>
  <c r="H9" i="16"/>
  <c r="H6" i="16"/>
  <c r="G5" i="16"/>
  <c r="J4" i="16"/>
  <c r="C2" i="50"/>
  <c r="B2" i="50"/>
  <c r="C10" i="28"/>
  <c r="C10" i="21"/>
  <c r="M23" i="21"/>
  <c r="N23" i="21"/>
  <c r="Z22" i="50"/>
  <c r="X22" i="50"/>
  <c r="U22" i="50"/>
  <c r="W22" i="50"/>
  <c r="G8" i="50"/>
  <c r="D8" i="50"/>
  <c r="C8" i="50"/>
  <c r="B8" i="50"/>
  <c r="U5" i="50"/>
  <c r="U15" i="50"/>
  <c r="M5" i="50"/>
  <c r="M15" i="50"/>
  <c r="L5" i="50"/>
  <c r="L15" i="50"/>
  <c r="W5" i="50"/>
  <c r="W15" i="50"/>
  <c r="V5" i="50"/>
  <c r="V15" i="50"/>
  <c r="T5" i="50"/>
  <c r="N5" i="50"/>
  <c r="N15" i="50"/>
  <c r="K5" i="50"/>
  <c r="K15" i="50"/>
  <c r="D5" i="50"/>
  <c r="D15" i="50"/>
  <c r="G5" i="50"/>
  <c r="G15" i="50"/>
  <c r="F5" i="50"/>
  <c r="F15" i="50"/>
  <c r="I5" i="50"/>
  <c r="I15" i="50"/>
  <c r="O5" i="50"/>
  <c r="O15" i="50"/>
  <c r="S5" i="50"/>
  <c r="H5" i="50"/>
  <c r="H15" i="50"/>
  <c r="A16" i="48"/>
  <c r="A24" i="48"/>
  <c r="A19" i="48"/>
  <c r="A15" i="48"/>
  <c r="A9" i="48"/>
  <c r="A27" i="48"/>
  <c r="A8" i="48"/>
  <c r="A21" i="48"/>
  <c r="A11" i="48"/>
  <c r="A26" i="48"/>
  <c r="A23" i="48"/>
  <c r="A25" i="48"/>
  <c r="A18" i="48"/>
  <c r="A7" i="48"/>
  <c r="A12" i="48"/>
  <c r="A13" i="48"/>
  <c r="A17" i="48"/>
  <c r="A3" i="48"/>
  <c r="A2" i="48"/>
  <c r="A10" i="48"/>
  <c r="I7" i="42"/>
  <c r="I9" i="42"/>
  <c r="I13" i="42"/>
  <c r="I15" i="42"/>
  <c r="I17" i="42"/>
  <c r="X7" i="46"/>
  <c r="K22" i="46" s="1"/>
  <c r="V9" i="50"/>
  <c r="O21" i="50"/>
  <c r="O19" i="50"/>
  <c r="O22" i="50"/>
  <c r="R21" i="44"/>
  <c r="Z7" i="44"/>
  <c r="S9" i="50"/>
  <c r="R6" i="44"/>
  <c r="O22" i="43"/>
  <c r="M28" i="43"/>
  <c r="H14" i="43"/>
  <c r="F14" i="43"/>
  <c r="E10" i="43"/>
  <c r="C10" i="43"/>
  <c r="I10" i="43"/>
  <c r="H9" i="43"/>
  <c r="Q9" i="50"/>
  <c r="J6" i="43"/>
  <c r="M13" i="43"/>
  <c r="H6" i="43"/>
  <c r="F6" i="43"/>
  <c r="D6" i="43"/>
  <c r="G5" i="43"/>
  <c r="J4" i="43"/>
  <c r="G18" i="43"/>
  <c r="H18" i="43"/>
  <c r="G10" i="42"/>
  <c r="E10" i="42"/>
  <c r="E11" i="42"/>
  <c r="C10" i="42"/>
  <c r="Z7" i="42"/>
  <c r="Q10" i="50"/>
  <c r="J4" i="42"/>
  <c r="S10" i="50"/>
  <c r="AI24" i="40"/>
  <c r="Z21" i="39"/>
  <c r="Z7" i="39"/>
  <c r="W9" i="50"/>
  <c r="W10" i="50"/>
  <c r="J10" i="50"/>
  <c r="Z24" i="38"/>
  <c r="O23" i="38"/>
  <c r="R23" i="38"/>
  <c r="S23" i="38"/>
  <c r="F14" i="38"/>
  <c r="D14" i="38"/>
  <c r="E10" i="38"/>
  <c r="E11" i="38"/>
  <c r="C10" i="38"/>
  <c r="I10" i="38"/>
  <c r="N21" i="50"/>
  <c r="N19" i="50"/>
  <c r="N22" i="50"/>
  <c r="Z7" i="38"/>
  <c r="AA7" i="38"/>
  <c r="J6" i="38"/>
  <c r="F6" i="38"/>
  <c r="D6" i="38"/>
  <c r="T19" i="33"/>
  <c r="X23" i="37"/>
  <c r="K27" i="37" s="1"/>
  <c r="T21" i="50"/>
  <c r="X7" i="37"/>
  <c r="Z6" i="33"/>
  <c r="P14" i="36"/>
  <c r="F14" i="36"/>
  <c r="D14" i="36"/>
  <c r="E10" i="36"/>
  <c r="E11" i="36"/>
  <c r="C10" i="36"/>
  <c r="M21" i="50"/>
  <c r="AG7" i="36"/>
  <c r="P6" i="36"/>
  <c r="F6" i="36"/>
  <c r="D6" i="36"/>
  <c r="Z21" i="33"/>
  <c r="O21" i="33"/>
  <c r="Z22" i="33"/>
  <c r="L14" i="33"/>
  <c r="F14" i="33"/>
  <c r="D14" i="33"/>
  <c r="E10" i="33"/>
  <c r="E11" i="33"/>
  <c r="F9" i="33"/>
  <c r="I10" i="50"/>
  <c r="F6" i="33"/>
  <c r="E5" i="33"/>
  <c r="E17" i="33"/>
  <c r="F17" i="33"/>
  <c r="I7" i="22"/>
  <c r="I8" i="22"/>
  <c r="C12" i="22"/>
  <c r="H14" i="22"/>
  <c r="H6" i="22"/>
  <c r="X23" i="32"/>
  <c r="F14" i="32"/>
  <c r="G13" i="32"/>
  <c r="E10" i="32"/>
  <c r="E11" i="32"/>
  <c r="E12" i="32"/>
  <c r="F9" i="32"/>
  <c r="X7" i="32"/>
  <c r="K23" i="32"/>
  <c r="G7" i="32"/>
  <c r="F6" i="32"/>
  <c r="E5" i="32"/>
  <c r="D4" i="31"/>
  <c r="X25" i="31"/>
  <c r="H15" i="31"/>
  <c r="F15" i="31"/>
  <c r="D15" i="31"/>
  <c r="E10" i="31"/>
  <c r="G10" i="31"/>
  <c r="E11" i="31"/>
  <c r="G11" i="31"/>
  <c r="E12" i="31"/>
  <c r="G12" i="31"/>
  <c r="F9" i="31"/>
  <c r="G8" i="31"/>
  <c r="X7" i="31"/>
  <c r="H6" i="31"/>
  <c r="F6" i="31"/>
  <c r="D6" i="31"/>
  <c r="E5" i="31"/>
  <c r="L15" i="30"/>
  <c r="F15" i="30"/>
  <c r="D15" i="30"/>
  <c r="F9" i="30"/>
  <c r="H9" i="50"/>
  <c r="L6" i="30"/>
  <c r="F6" i="30"/>
  <c r="D6" i="30"/>
  <c r="E5" i="30"/>
  <c r="E19" i="30"/>
  <c r="F19" i="30"/>
  <c r="Z24" i="22"/>
  <c r="I14" i="22"/>
  <c r="I17" i="22"/>
  <c r="I15" i="22"/>
  <c r="I6" i="22"/>
  <c r="Y7" i="17"/>
  <c r="K23" i="17"/>
  <c r="D9" i="50"/>
  <c r="D10" i="50"/>
  <c r="S21" i="22"/>
  <c r="Z24" i="28"/>
  <c r="J14" i="28"/>
  <c r="F14" i="28"/>
  <c r="D14" i="28"/>
  <c r="E10" i="28"/>
  <c r="E11" i="28"/>
  <c r="F9" i="28"/>
  <c r="Z7" i="28"/>
  <c r="M23" i="28"/>
  <c r="K9" i="50"/>
  <c r="J6" i="28"/>
  <c r="F6" i="28"/>
  <c r="D6" i="28"/>
  <c r="E5" i="28"/>
  <c r="J4" i="28"/>
  <c r="H10" i="50"/>
  <c r="C12" i="17"/>
  <c r="R23" i="22"/>
  <c r="F14" i="22"/>
  <c r="E10" i="22"/>
  <c r="E11" i="22"/>
  <c r="E12" i="22"/>
  <c r="F9" i="22"/>
  <c r="Z7" i="22"/>
  <c r="G9" i="50"/>
  <c r="G10" i="50"/>
  <c r="R6" i="22"/>
  <c r="J6" i="22"/>
  <c r="F6" i="22"/>
  <c r="D6" i="22"/>
  <c r="C12" i="21"/>
  <c r="G17" i="21"/>
  <c r="G15" i="21"/>
  <c r="G14" i="21"/>
  <c r="X24" i="21"/>
  <c r="F14" i="21"/>
  <c r="G13" i="21"/>
  <c r="E10" i="21"/>
  <c r="E11" i="21"/>
  <c r="E12" i="21"/>
  <c r="G9" i="21"/>
  <c r="F9" i="21"/>
  <c r="G8" i="21"/>
  <c r="X7" i="21"/>
  <c r="F9" i="50"/>
  <c r="F10" i="50"/>
  <c r="G7" i="21"/>
  <c r="G6" i="21"/>
  <c r="K13" i="21"/>
  <c r="H6" i="21"/>
  <c r="F6" i="21"/>
  <c r="D6" i="21"/>
  <c r="E5" i="21"/>
  <c r="E18" i="21"/>
  <c r="F18" i="21"/>
  <c r="H4" i="21"/>
  <c r="X25" i="20"/>
  <c r="K27" i="20"/>
  <c r="P24" i="20"/>
  <c r="G15" i="20"/>
  <c r="G14" i="20"/>
  <c r="H14" i="20"/>
  <c r="F14" i="20"/>
  <c r="D14" i="20"/>
  <c r="G13" i="20"/>
  <c r="E10" i="20"/>
  <c r="E11" i="20"/>
  <c r="C10" i="20"/>
  <c r="G9" i="20"/>
  <c r="F9" i="20"/>
  <c r="G8" i="20"/>
  <c r="X7" i="20"/>
  <c r="L9" i="50"/>
  <c r="L10" i="50"/>
  <c r="K10" i="50"/>
  <c r="G7" i="20"/>
  <c r="F6" i="20"/>
  <c r="E5" i="20"/>
  <c r="E19" i="20"/>
  <c r="F19" i="20"/>
  <c r="H4" i="20"/>
  <c r="G15" i="18"/>
  <c r="G14" i="18"/>
  <c r="M23" i="18"/>
  <c r="X23" i="18"/>
  <c r="K28" i="18"/>
  <c r="K29" i="18"/>
  <c r="H14" i="18"/>
  <c r="F14" i="18"/>
  <c r="D14" i="18"/>
  <c r="G13" i="18"/>
  <c r="E11" i="18"/>
  <c r="C10" i="18"/>
  <c r="G9" i="18"/>
  <c r="G8" i="18"/>
  <c r="G7" i="18"/>
  <c r="F6" i="18"/>
  <c r="G17" i="17"/>
  <c r="G15" i="17"/>
  <c r="G14" i="17"/>
  <c r="F14" i="17"/>
  <c r="G13" i="17"/>
  <c r="E10" i="17"/>
  <c r="E11" i="17"/>
  <c r="E12" i="17"/>
  <c r="C10" i="17"/>
  <c r="G9" i="17"/>
  <c r="F9" i="17"/>
  <c r="G8" i="17"/>
  <c r="G7" i="17"/>
  <c r="G6" i="17"/>
  <c r="H6" i="17"/>
  <c r="F6" i="17"/>
  <c r="D6" i="17"/>
  <c r="E5" i="17"/>
  <c r="Z26" i="16"/>
  <c r="M28" i="16"/>
  <c r="F14" i="16"/>
  <c r="D14" i="16"/>
  <c r="E10" i="16"/>
  <c r="E11" i="16"/>
  <c r="C10" i="16"/>
  <c r="I10" i="16"/>
  <c r="Z7" i="16"/>
  <c r="C9" i="50"/>
  <c r="C10" i="50"/>
  <c r="F6" i="16"/>
  <c r="D6" i="16"/>
  <c r="P6" i="4"/>
  <c r="U10" i="50"/>
  <c r="G11" i="42"/>
  <c r="I10" i="42"/>
  <c r="E11" i="43"/>
  <c r="J14" i="38"/>
  <c r="N6" i="46"/>
  <c r="N21" i="46"/>
  <c r="I13" i="22"/>
  <c r="P23" i="4"/>
  <c r="Q6" i="44"/>
  <c r="P6" i="44"/>
  <c r="Q21" i="44"/>
  <c r="P21" i="44"/>
  <c r="C11" i="43"/>
  <c r="I11" i="43"/>
  <c r="C11" i="42"/>
  <c r="Q6" i="38"/>
  <c r="R6" i="38"/>
  <c r="S6" i="38"/>
  <c r="P6" i="38"/>
  <c r="C11" i="38"/>
  <c r="I11" i="38"/>
  <c r="Q23" i="38"/>
  <c r="P23" i="38"/>
  <c r="N6" i="37"/>
  <c r="N22" i="37"/>
  <c r="C11" i="36"/>
  <c r="D6" i="33"/>
  <c r="C10" i="33"/>
  <c r="Q21" i="33"/>
  <c r="R21" i="33"/>
  <c r="S21" i="33"/>
  <c r="P21" i="33"/>
  <c r="G10" i="22"/>
  <c r="E18" i="32"/>
  <c r="F18" i="32"/>
  <c r="G6" i="32"/>
  <c r="K13" i="32"/>
  <c r="D6" i="32"/>
  <c r="C10" i="32"/>
  <c r="G9" i="32"/>
  <c r="O6" i="31"/>
  <c r="P6" i="31"/>
  <c r="N6" i="31"/>
  <c r="R23" i="30"/>
  <c r="R6" i="28"/>
  <c r="S6" i="28"/>
  <c r="C11" i="28"/>
  <c r="Q6" i="22"/>
  <c r="P6" i="22"/>
  <c r="Q23" i="22"/>
  <c r="P23" i="22"/>
  <c r="E12" i="16"/>
  <c r="F9" i="16"/>
  <c r="N6" i="21"/>
  <c r="C11" i="21"/>
  <c r="G10" i="21"/>
  <c r="G6" i="20"/>
  <c r="K13" i="20"/>
  <c r="D6" i="20"/>
  <c r="O6" i="20"/>
  <c r="N6" i="20"/>
  <c r="C11" i="20"/>
  <c r="G10" i="20"/>
  <c r="O24" i="20"/>
  <c r="N24" i="20"/>
  <c r="G6" i="18"/>
  <c r="K13" i="18"/>
  <c r="D6" i="18"/>
  <c r="C11" i="18"/>
  <c r="G10" i="18"/>
  <c r="C11" i="16"/>
  <c r="I11" i="16"/>
  <c r="E19" i="17"/>
  <c r="F19" i="17"/>
  <c r="C11" i="17"/>
  <c r="G10" i="17"/>
  <c r="M22" i="16"/>
  <c r="P6" i="16"/>
  <c r="E5" i="16"/>
  <c r="P25" i="16"/>
  <c r="I11" i="42"/>
  <c r="H9" i="42"/>
  <c r="I9" i="22"/>
  <c r="C10" i="22"/>
  <c r="C11" i="33"/>
  <c r="G11" i="22"/>
  <c r="G14" i="32"/>
  <c r="K28" i="32"/>
  <c r="K29" i="32"/>
  <c r="H14" i="32"/>
  <c r="G10" i="32"/>
  <c r="C11" i="32"/>
  <c r="H6" i="32"/>
  <c r="G12" i="21"/>
  <c r="G11" i="21"/>
  <c r="D9" i="21"/>
  <c r="G11" i="20"/>
  <c r="H6" i="20"/>
  <c r="G11" i="18"/>
  <c r="H6" i="18"/>
  <c r="G12" i="17"/>
  <c r="G11" i="17"/>
  <c r="D9" i="17"/>
  <c r="C19" i="17"/>
  <c r="D19" i="17"/>
  <c r="F14" i="4"/>
  <c r="F6" i="4"/>
  <c r="D6" i="4"/>
  <c r="C11" i="22"/>
  <c r="I10" i="22"/>
  <c r="G12" i="22"/>
  <c r="H9" i="22"/>
  <c r="G5" i="22"/>
  <c r="G19" i="22"/>
  <c r="H19" i="22"/>
  <c r="G12" i="32"/>
  <c r="G11" i="32"/>
  <c r="D9" i="32"/>
  <c r="H9" i="32"/>
  <c r="K17" i="32"/>
  <c r="K19" i="32"/>
  <c r="D9" i="30"/>
  <c r="C5" i="30"/>
  <c r="C19" i="30"/>
  <c r="D19" i="30"/>
  <c r="H9" i="21"/>
  <c r="J6" i="4"/>
  <c r="M13" i="4"/>
  <c r="E10" i="4"/>
  <c r="C10" i="4"/>
  <c r="I12" i="22"/>
  <c r="D9" i="22"/>
  <c r="I11" i="22"/>
  <c r="J9" i="22"/>
  <c r="M17" i="22"/>
  <c r="E11" i="4"/>
  <c r="C11" i="4"/>
  <c r="E12" i="4"/>
  <c r="E5" i="4"/>
  <c r="F9" i="4"/>
  <c r="E5" i="50"/>
  <c r="E15" i="50"/>
  <c r="M13" i="16"/>
  <c r="E10" i="50"/>
  <c r="I11" i="4"/>
  <c r="I10" i="4"/>
  <c r="M23" i="16"/>
  <c r="Z24" i="4"/>
  <c r="M28" i="4"/>
  <c r="J6" i="16"/>
  <c r="V10" i="50"/>
  <c r="R6" i="43"/>
  <c r="Q6" i="43"/>
  <c r="P6" i="43"/>
  <c r="D4" i="32"/>
  <c r="H4" i="32"/>
  <c r="Z10" i="50"/>
  <c r="R22" i="43"/>
  <c r="Q22" i="43"/>
  <c r="P22" i="43"/>
  <c r="Y10" i="50"/>
  <c r="Y5" i="50"/>
  <c r="Y15" i="50"/>
  <c r="Z5" i="50"/>
  <c r="Z15" i="50"/>
  <c r="B9" i="50"/>
  <c r="B10" i="50"/>
  <c r="D16" i="50"/>
  <c r="D14" i="50"/>
  <c r="D17" i="50"/>
  <c r="G19" i="17"/>
  <c r="D13" i="50"/>
  <c r="H19" i="17"/>
  <c r="D12" i="50"/>
  <c r="C3" i="48"/>
  <c r="G18" i="16"/>
  <c r="H18" i="16"/>
  <c r="E18" i="16"/>
  <c r="F18" i="16"/>
  <c r="AG25" i="36"/>
  <c r="M9" i="50"/>
  <c r="G10" i="28"/>
  <c r="I10" i="28"/>
  <c r="AB24" i="30"/>
  <c r="I10" i="30"/>
  <c r="K10" i="30"/>
  <c r="C12" i="28"/>
  <c r="E19" i="28"/>
  <c r="F19" i="28"/>
  <c r="G5" i="32"/>
  <c r="I16" i="50"/>
  <c r="I14" i="50"/>
  <c r="I17" i="50"/>
  <c r="G18" i="32"/>
  <c r="I13" i="50"/>
  <c r="H18" i="32"/>
  <c r="G11" i="28"/>
  <c r="I11" i="28"/>
  <c r="I11" i="30"/>
  <c r="K11" i="30"/>
  <c r="C6" i="48"/>
  <c r="I12" i="50"/>
  <c r="I12" i="28"/>
  <c r="H9" i="28"/>
  <c r="G5" i="28"/>
  <c r="G19" i="28"/>
  <c r="H19" i="28"/>
  <c r="I12" i="30"/>
  <c r="K12" i="30"/>
  <c r="J9" i="30"/>
  <c r="I5" i="30"/>
  <c r="I19" i="30"/>
  <c r="J19" i="30"/>
  <c r="J9" i="28"/>
  <c r="I5" i="28"/>
  <c r="AC6" i="36"/>
  <c r="AB6" i="36"/>
  <c r="AA6" i="36"/>
  <c r="Z6" i="36"/>
  <c r="Y6" i="36"/>
  <c r="X6" i="36"/>
  <c r="W6" i="36"/>
  <c r="AG6" i="36" s="1"/>
  <c r="M8" i="50" s="1"/>
  <c r="M10" i="50" s="1"/>
  <c r="O20" i="36"/>
  <c r="P20" i="36"/>
  <c r="C12" i="44"/>
  <c r="E12" i="44"/>
  <c r="I4" i="44"/>
  <c r="I6" i="44"/>
  <c r="D6" i="44"/>
  <c r="C10" i="44"/>
  <c r="I9" i="44"/>
  <c r="I14" i="44"/>
  <c r="D14" i="44"/>
  <c r="S19" i="50"/>
  <c r="S22" i="50"/>
  <c r="R19" i="50"/>
  <c r="R22" i="50"/>
  <c r="Q19" i="50"/>
  <c r="Q22" i="50"/>
  <c r="D19" i="50"/>
  <c r="D22" i="50"/>
  <c r="C12" i="55"/>
  <c r="E12" i="55"/>
  <c r="B22" i="48"/>
  <c r="D6" i="55"/>
  <c r="T6" i="55"/>
  <c r="S6" i="55"/>
  <c r="R6" i="55"/>
  <c r="Q6" i="55"/>
  <c r="C10" i="55"/>
  <c r="E10" i="55"/>
  <c r="K6" i="33"/>
  <c r="O24" i="42"/>
  <c r="Z24" i="42"/>
  <c r="C8" i="42"/>
  <c r="I8" i="42"/>
  <c r="P21" i="50"/>
  <c r="P19" i="50"/>
  <c r="P22" i="50"/>
  <c r="U23" i="40"/>
  <c r="O9" i="50"/>
  <c r="S15" i="50"/>
  <c r="K19" i="50"/>
  <c r="K22" i="50"/>
  <c r="Q3" i="50"/>
  <c r="C4" i="43"/>
  <c r="C12" i="43"/>
  <c r="N9" i="50"/>
  <c r="M22" i="38"/>
  <c r="K22" i="20"/>
  <c r="Y7" i="20"/>
  <c r="P9" i="50"/>
  <c r="M22" i="42"/>
  <c r="E40" i="42"/>
  <c r="D40" i="42"/>
  <c r="C40" i="42"/>
  <c r="D42" i="42"/>
  <c r="V6" i="42"/>
  <c r="U6" i="42"/>
  <c r="T6" i="42"/>
  <c r="S6" i="42"/>
  <c r="R6" i="42"/>
  <c r="Q6" i="42"/>
  <c r="P6" i="42"/>
  <c r="Z23" i="43"/>
  <c r="M29" i="43"/>
  <c r="M13" i="38"/>
  <c r="V23" i="42"/>
  <c r="U23" i="42"/>
  <c r="T23" i="42"/>
  <c r="S23" i="42"/>
  <c r="R23" i="42"/>
  <c r="Q23" i="42"/>
  <c r="P23" i="42"/>
  <c r="Z6" i="40"/>
  <c r="Y6" i="40"/>
  <c r="X6" i="40"/>
  <c r="Z23" i="40"/>
  <c r="Y23" i="40"/>
  <c r="X23" i="40"/>
  <c r="H14" i="40"/>
  <c r="G5" i="40"/>
  <c r="G18" i="40"/>
  <c r="H18" i="40"/>
  <c r="H9" i="40"/>
  <c r="R6" i="40"/>
  <c r="I10" i="33"/>
  <c r="K5" i="30"/>
  <c r="H16" i="50"/>
  <c r="H14" i="50"/>
  <c r="H17" i="50"/>
  <c r="L9" i="30"/>
  <c r="K24" i="31"/>
  <c r="M24" i="31"/>
  <c r="Y7" i="31"/>
  <c r="AC7" i="30"/>
  <c r="S13" i="36"/>
  <c r="M19" i="50"/>
  <c r="M22" i="50"/>
  <c r="K28" i="21"/>
  <c r="H14" i="21"/>
  <c r="Q6" i="20"/>
  <c r="K28" i="20"/>
  <c r="G4" i="20"/>
  <c r="C12" i="20"/>
  <c r="C5" i="21"/>
  <c r="C18" i="21"/>
  <c r="K23" i="21"/>
  <c r="K29" i="21"/>
  <c r="K29" i="31"/>
  <c r="K30" i="31"/>
  <c r="E5" i="22"/>
  <c r="E19" i="22"/>
  <c r="F19" i="22"/>
  <c r="C5" i="22"/>
  <c r="C19" i="22"/>
  <c r="D19" i="22"/>
  <c r="K14" i="31"/>
  <c r="G10" i="33"/>
  <c r="K10" i="33"/>
  <c r="M28" i="22"/>
  <c r="M29" i="22"/>
  <c r="I5" i="22"/>
  <c r="J14" i="22"/>
  <c r="G5" i="21"/>
  <c r="M23" i="22"/>
  <c r="M19" i="22"/>
  <c r="C5" i="32"/>
  <c r="C18" i="32"/>
  <c r="D18" i="32"/>
  <c r="C51" i="33"/>
  <c r="K51" i="33"/>
  <c r="K45" i="33"/>
  <c r="D45" i="33"/>
  <c r="C49" i="33"/>
  <c r="K48" i="33"/>
  <c r="Q60" i="33"/>
  <c r="R60" i="33"/>
  <c r="S60" i="33"/>
  <c r="P60" i="33"/>
  <c r="B23" i="32"/>
  <c r="B22" i="32"/>
  <c r="B24" i="32"/>
  <c r="B25" i="22"/>
  <c r="B24" i="22"/>
  <c r="B23" i="22"/>
  <c r="I19" i="28"/>
  <c r="B24" i="28"/>
  <c r="M17" i="28"/>
  <c r="M19" i="28"/>
  <c r="B23" i="28"/>
  <c r="B25" i="28"/>
  <c r="M28" i="28"/>
  <c r="M29" i="28"/>
  <c r="M13" i="28"/>
  <c r="D9" i="28"/>
  <c r="C5" i="28"/>
  <c r="C19" i="28"/>
  <c r="D19" i="28"/>
  <c r="C44" i="4"/>
  <c r="B24" i="30"/>
  <c r="O18" i="30"/>
  <c r="O20" i="30"/>
  <c r="B23" i="30"/>
  <c r="B25" i="30"/>
  <c r="O29" i="30"/>
  <c r="O30" i="30"/>
  <c r="K4" i="30"/>
  <c r="O25" i="30"/>
  <c r="K24" i="32"/>
  <c r="M13" i="22"/>
  <c r="M24" i="22"/>
  <c r="O6" i="18"/>
  <c r="N6" i="18"/>
  <c r="C12" i="18"/>
  <c r="O22" i="18"/>
  <c r="N22" i="18"/>
  <c r="B23" i="21"/>
  <c r="B22" i="21"/>
  <c r="B24" i="21"/>
  <c r="K17" i="21"/>
  <c r="K19" i="21"/>
  <c r="K24" i="21"/>
  <c r="M29" i="4"/>
  <c r="B19" i="50"/>
  <c r="B22" i="50"/>
  <c r="M22" i="4"/>
  <c r="M18" i="4"/>
  <c r="M17" i="4"/>
  <c r="M19" i="4"/>
  <c r="K17" i="17"/>
  <c r="B24" i="17"/>
  <c r="K13" i="17"/>
  <c r="B23" i="17"/>
  <c r="B25" i="17"/>
  <c r="K19" i="17"/>
  <c r="J14" i="4"/>
  <c r="M24" i="4"/>
  <c r="J14" i="16"/>
  <c r="M18" i="16"/>
  <c r="M29" i="16"/>
  <c r="M19" i="16"/>
  <c r="M24" i="16"/>
  <c r="M17" i="16"/>
  <c r="C41" i="4"/>
  <c r="D39" i="4"/>
  <c r="I39" i="4"/>
  <c r="C43" i="16"/>
  <c r="N25" i="17"/>
  <c r="Y25" i="17"/>
  <c r="D44" i="22"/>
  <c r="E44" i="22"/>
  <c r="C44" i="22"/>
  <c r="F43" i="22"/>
  <c r="F44" i="22"/>
  <c r="D39" i="16"/>
  <c r="I39" i="16"/>
  <c r="C41" i="16"/>
  <c r="X22" i="46"/>
  <c r="AA5" i="50"/>
  <c r="AA15" i="50"/>
  <c r="P10" i="50"/>
  <c r="O10" i="50"/>
  <c r="T15" i="50"/>
  <c r="T19" i="50"/>
  <c r="T22" i="50"/>
  <c r="M27" i="44"/>
  <c r="M28" i="44" s="1"/>
  <c r="J14" i="44"/>
  <c r="I10" i="44"/>
  <c r="C11" i="44"/>
  <c r="J6" i="44"/>
  <c r="G18" i="44"/>
  <c r="H18" i="44"/>
  <c r="F9" i="44"/>
  <c r="E5" i="44"/>
  <c r="E18" i="44"/>
  <c r="F18" i="44"/>
  <c r="I12" i="44"/>
  <c r="E11" i="55"/>
  <c r="C11" i="55"/>
  <c r="M13" i="55"/>
  <c r="J6" i="55"/>
  <c r="AC20" i="33"/>
  <c r="L6" i="33"/>
  <c r="D6" i="42"/>
  <c r="D14" i="42"/>
  <c r="I14" i="42"/>
  <c r="N10" i="50"/>
  <c r="D9" i="43"/>
  <c r="C5" i="43"/>
  <c r="I4" i="43"/>
  <c r="C18" i="43"/>
  <c r="D18" i="43"/>
  <c r="E42" i="42"/>
  <c r="I42" i="42"/>
  <c r="I19" i="42"/>
  <c r="J19" i="42"/>
  <c r="E4" i="42"/>
  <c r="C4" i="42"/>
  <c r="P3" i="50"/>
  <c r="U13" i="40"/>
  <c r="I11" i="33"/>
  <c r="O24" i="31"/>
  <c r="P24" i="31"/>
  <c r="N24" i="31"/>
  <c r="K19" i="30"/>
  <c r="G12" i="20"/>
  <c r="D9" i="20"/>
  <c r="C5" i="20"/>
  <c r="C19" i="20"/>
  <c r="D19" i="20"/>
  <c r="F13" i="50"/>
  <c r="D18" i="21"/>
  <c r="G11" i="33"/>
  <c r="K11" i="33"/>
  <c r="G16" i="50"/>
  <c r="G14" i="50"/>
  <c r="G17" i="50"/>
  <c r="I19" i="22"/>
  <c r="F16" i="50"/>
  <c r="F14" i="50"/>
  <c r="F17" i="50"/>
  <c r="G18" i="21"/>
  <c r="H18" i="21"/>
  <c r="K49" i="33"/>
  <c r="C50" i="33"/>
  <c r="AC59" i="33"/>
  <c r="L45" i="33"/>
  <c r="K13" i="50"/>
  <c r="K16" i="50"/>
  <c r="K14" i="50"/>
  <c r="K17" i="50"/>
  <c r="J19" i="28"/>
  <c r="C18" i="48"/>
  <c r="M24" i="28"/>
  <c r="O23" i="28"/>
  <c r="H13" i="50"/>
  <c r="L19" i="30"/>
  <c r="E12" i="18"/>
  <c r="G12" i="18"/>
  <c r="D9" i="18"/>
  <c r="C5" i="18"/>
  <c r="C18" i="18"/>
  <c r="D18" i="18"/>
  <c r="K24" i="17"/>
  <c r="D41" i="4"/>
  <c r="I41" i="4"/>
  <c r="B5" i="50"/>
  <c r="B15" i="50"/>
  <c r="C5" i="50"/>
  <c r="C15" i="50"/>
  <c r="D41" i="16"/>
  <c r="I41" i="16"/>
  <c r="X5" i="50"/>
  <c r="X15" i="50"/>
  <c r="J5" i="50"/>
  <c r="J15" i="50"/>
  <c r="M13" i="44"/>
  <c r="I11" i="44"/>
  <c r="I5" i="44"/>
  <c r="B24" i="44" s="1"/>
  <c r="D9" i="44"/>
  <c r="C5" i="44"/>
  <c r="C18" i="44"/>
  <c r="D18" i="44"/>
  <c r="J9" i="44"/>
  <c r="M17" i="44" s="1"/>
  <c r="D9" i="55"/>
  <c r="C5" i="55"/>
  <c r="C19" i="55"/>
  <c r="D19" i="55"/>
  <c r="F9" i="55"/>
  <c r="E5" i="55"/>
  <c r="E19" i="55"/>
  <c r="F19" i="55"/>
  <c r="P5" i="50"/>
  <c r="M27" i="42"/>
  <c r="M28" i="42"/>
  <c r="J14" i="42"/>
  <c r="C12" i="42"/>
  <c r="E12" i="42"/>
  <c r="I4" i="42"/>
  <c r="J9" i="33"/>
  <c r="I5" i="33"/>
  <c r="I17" i="33"/>
  <c r="J17" i="33"/>
  <c r="H9" i="20"/>
  <c r="G5" i="20"/>
  <c r="H9" i="33"/>
  <c r="G5" i="33"/>
  <c r="G17" i="33"/>
  <c r="H17" i="33"/>
  <c r="G13" i="50"/>
  <c r="J19" i="22"/>
  <c r="F12" i="50"/>
  <c r="C13" i="48"/>
  <c r="K50" i="33"/>
  <c r="K44" i="33"/>
  <c r="D48" i="33"/>
  <c r="C44" i="33"/>
  <c r="C56" i="33"/>
  <c r="D56" i="33"/>
  <c r="L48" i="33"/>
  <c r="B60" i="33"/>
  <c r="K12" i="50"/>
  <c r="Q23" i="28"/>
  <c r="R23" i="28"/>
  <c r="S23" i="28"/>
  <c r="P23" i="28"/>
  <c r="H12" i="50"/>
  <c r="C20" i="48"/>
  <c r="H9" i="18"/>
  <c r="G5" i="18"/>
  <c r="G18" i="18"/>
  <c r="F9" i="18"/>
  <c r="E5" i="18"/>
  <c r="E18" i="18"/>
  <c r="F18" i="18"/>
  <c r="C12" i="4"/>
  <c r="E19" i="4"/>
  <c r="F19" i="4"/>
  <c r="B23" i="44"/>
  <c r="I18" i="44"/>
  <c r="S13" i="50" s="1"/>
  <c r="J18" i="44"/>
  <c r="P15" i="50"/>
  <c r="G4" i="42"/>
  <c r="F9" i="42"/>
  <c r="I12" i="42"/>
  <c r="J9" i="42" s="1"/>
  <c r="M17" i="42" s="1"/>
  <c r="D9" i="42"/>
  <c r="B23" i="20"/>
  <c r="B25" i="20"/>
  <c r="K17" i="20"/>
  <c r="K18" i="20"/>
  <c r="K23" i="20"/>
  <c r="B24" i="20"/>
  <c r="L16" i="50"/>
  <c r="L14" i="50"/>
  <c r="L17" i="50"/>
  <c r="G19" i="20"/>
  <c r="G12" i="50"/>
  <c r="C12" i="48"/>
  <c r="B61" i="33"/>
  <c r="K56" i="33"/>
  <c r="L56" i="33"/>
  <c r="B59" i="33"/>
  <c r="B22" i="18"/>
  <c r="B24" i="18"/>
  <c r="K17" i="18"/>
  <c r="K19" i="18"/>
  <c r="K24" i="18"/>
  <c r="B23" i="18"/>
  <c r="E13" i="50"/>
  <c r="H18" i="18"/>
  <c r="E16" i="50"/>
  <c r="E14" i="50"/>
  <c r="E17" i="50"/>
  <c r="D9" i="4"/>
  <c r="C5" i="4"/>
  <c r="I12" i="4"/>
  <c r="I5" i="4"/>
  <c r="C19" i="4"/>
  <c r="D19" i="4"/>
  <c r="C12" i="16"/>
  <c r="C5" i="16"/>
  <c r="AA16" i="50"/>
  <c r="AA14" i="50"/>
  <c r="AA17" i="50"/>
  <c r="E4" i="31"/>
  <c r="E20" i="31"/>
  <c r="F20" i="31"/>
  <c r="C20" i="31"/>
  <c r="D20" i="31"/>
  <c r="S16" i="50"/>
  <c r="H19" i="20"/>
  <c r="L13" i="50"/>
  <c r="C17" i="48"/>
  <c r="E12" i="50"/>
  <c r="J9" i="4"/>
  <c r="I12" i="16"/>
  <c r="I5" i="16"/>
  <c r="B22" i="16"/>
  <c r="D9" i="16"/>
  <c r="C18" i="16"/>
  <c r="D18" i="16"/>
  <c r="E4" i="43"/>
  <c r="Q4" i="50"/>
  <c r="S14" i="50"/>
  <c r="S17" i="50"/>
  <c r="Q5" i="50"/>
  <c r="M18" i="42"/>
  <c r="E12" i="43"/>
  <c r="L12" i="50"/>
  <c r="C25" i="48"/>
  <c r="B25" i="4"/>
  <c r="B23" i="4"/>
  <c r="B24" i="4"/>
  <c r="J9" i="16"/>
  <c r="B23" i="16"/>
  <c r="B16" i="50"/>
  <c r="B14" i="50"/>
  <c r="B17" i="50"/>
  <c r="I19" i="4"/>
  <c r="M23" i="42"/>
  <c r="Q15" i="50"/>
  <c r="F9" i="43"/>
  <c r="E5" i="43"/>
  <c r="I12" i="43"/>
  <c r="J9" i="43"/>
  <c r="M18" i="43"/>
  <c r="M19" i="43"/>
  <c r="M24" i="43"/>
  <c r="B24" i="16"/>
  <c r="B13" i="50"/>
  <c r="J19" i="4"/>
  <c r="C16" i="50"/>
  <c r="C14" i="50"/>
  <c r="C17" i="50"/>
  <c r="I18" i="16"/>
  <c r="I5" i="43"/>
  <c r="E18" i="43"/>
  <c r="F18" i="43"/>
  <c r="B12" i="50"/>
  <c r="C10" i="48"/>
  <c r="C13" i="50"/>
  <c r="J18" i="16"/>
  <c r="Q16" i="50"/>
  <c r="B21" i="43"/>
  <c r="B23" i="43"/>
  <c r="I18" i="43"/>
  <c r="B22" i="43"/>
  <c r="C2" i="48"/>
  <c r="E6" i="48"/>
  <c r="C12" i="50"/>
  <c r="Q13" i="50"/>
  <c r="Q14" i="50"/>
  <c r="Q17" i="50"/>
  <c r="J18" i="43"/>
  <c r="Q12" i="50"/>
  <c r="C27" i="48"/>
  <c r="D9" i="33"/>
  <c r="C5" i="33"/>
  <c r="C17" i="33"/>
  <c r="D17" i="33"/>
  <c r="T8" i="33"/>
  <c r="Z8" i="33"/>
  <c r="K5" i="33"/>
  <c r="L9" i="33"/>
  <c r="B22" i="33"/>
  <c r="B20" i="33"/>
  <c r="K17" i="33"/>
  <c r="L17" i="33"/>
  <c r="B21" i="33"/>
  <c r="C12" i="38"/>
  <c r="D9" i="38"/>
  <c r="C5" i="38"/>
  <c r="C18" i="38"/>
  <c r="D18" i="38"/>
  <c r="E12" i="38"/>
  <c r="F9" i="38"/>
  <c r="E5" i="38"/>
  <c r="E18" i="38"/>
  <c r="F18" i="38"/>
  <c r="I4" i="38"/>
  <c r="G12" i="38"/>
  <c r="H9" i="38"/>
  <c r="I12" i="38"/>
  <c r="G5" i="38"/>
  <c r="G18" i="38"/>
  <c r="H18" i="38"/>
  <c r="I5" i="38"/>
  <c r="I18" i="38"/>
  <c r="J9" i="38"/>
  <c r="M17" i="38"/>
  <c r="M18" i="38"/>
  <c r="M23" i="38"/>
  <c r="B24" i="38"/>
  <c r="B23" i="38"/>
  <c r="B22" i="38"/>
  <c r="N16" i="50"/>
  <c r="N14" i="50"/>
  <c r="N17" i="50"/>
  <c r="J18" i="38"/>
  <c r="N13" i="50"/>
  <c r="N12" i="50"/>
  <c r="C26" i="48"/>
  <c r="E17" i="48"/>
  <c r="G12" i="36"/>
  <c r="G10" i="36"/>
  <c r="G11" i="36"/>
  <c r="G5" i="36"/>
  <c r="H9" i="36"/>
  <c r="G19" i="36"/>
  <c r="H19" i="36"/>
  <c r="E92" i="42" l="1"/>
  <c r="G6" i="42"/>
  <c r="G5" i="42" s="1"/>
  <c r="E140" i="42"/>
  <c r="E141" i="42" s="1"/>
  <c r="B95" i="33"/>
  <c r="E94" i="42"/>
  <c r="E96" i="42" s="1"/>
  <c r="C8" i="39"/>
  <c r="C4" i="40"/>
  <c r="E4" i="40"/>
  <c r="G10" i="41"/>
  <c r="I10" i="41" s="1"/>
  <c r="B76" i="33"/>
  <c r="K110" i="33"/>
  <c r="D110" i="33"/>
  <c r="C114" i="33"/>
  <c r="K113" i="33"/>
  <c r="E114" i="33"/>
  <c r="I114" i="33"/>
  <c r="Q125" i="33"/>
  <c r="R125" i="33" s="1"/>
  <c r="S125" i="33" s="1"/>
  <c r="P125" i="33"/>
  <c r="M10" i="40"/>
  <c r="G5" i="49"/>
  <c r="K31" i="49"/>
  <c r="K22" i="54"/>
  <c r="AA9" i="50"/>
  <c r="AA10" i="50" s="1"/>
  <c r="K28" i="34"/>
  <c r="N21" i="34"/>
  <c r="O21" i="34"/>
  <c r="P21" i="34"/>
  <c r="Q21" i="34"/>
  <c r="C12" i="34"/>
  <c r="G12" i="34" s="1"/>
  <c r="G4" i="34"/>
  <c r="G6" i="34"/>
  <c r="D6" i="34"/>
  <c r="C11" i="34"/>
  <c r="G10" i="34"/>
  <c r="G15" i="34"/>
  <c r="K27" i="34" s="1"/>
  <c r="T24" i="55"/>
  <c r="S24" i="55"/>
  <c r="R24" i="55"/>
  <c r="Q24" i="55"/>
  <c r="G12" i="55"/>
  <c r="G10" i="55"/>
  <c r="I10" i="55" s="1"/>
  <c r="M18" i="44"/>
  <c r="B22" i="44"/>
  <c r="C18" i="42"/>
  <c r="D18" i="42" s="1"/>
  <c r="I11" i="40"/>
  <c r="T9" i="50"/>
  <c r="T10" i="50" s="1"/>
  <c r="K22" i="37"/>
  <c r="K28" i="37"/>
  <c r="K22" i="47"/>
  <c r="X9" i="50"/>
  <c r="X10" i="50" s="1"/>
  <c r="C9" i="48"/>
  <c r="S12" i="50"/>
  <c r="M22" i="44"/>
  <c r="M23" i="44" s="1"/>
  <c r="J14" i="40"/>
  <c r="R14" i="40"/>
  <c r="C12" i="54"/>
  <c r="E12" i="54"/>
  <c r="G4" i="54"/>
  <c r="B4" i="48" s="1"/>
  <c r="K13" i="54"/>
  <c r="H6" i="54"/>
  <c r="Q6" i="54"/>
  <c r="P6" i="54"/>
  <c r="O6" i="54"/>
  <c r="N6" i="54"/>
  <c r="C11" i="54"/>
  <c r="G10" i="54"/>
  <c r="K28" i="54"/>
  <c r="K27" i="54"/>
  <c r="H14" i="54"/>
  <c r="P21" i="54"/>
  <c r="O21" i="54"/>
  <c r="N21" i="54"/>
  <c r="C12" i="41"/>
  <c r="E12" i="41"/>
  <c r="B15" i="48"/>
  <c r="M13" i="41"/>
  <c r="J6" i="41"/>
  <c r="S6" i="41"/>
  <c r="R6" i="41"/>
  <c r="Q6" i="41"/>
  <c r="P6" i="41"/>
  <c r="M22" i="41"/>
  <c r="C11" i="41"/>
  <c r="M28" i="41"/>
  <c r="M27" i="41"/>
  <c r="J14" i="41"/>
  <c r="S21" i="41"/>
  <c r="R21" i="41"/>
  <c r="Q21" i="41"/>
  <c r="P21" i="41"/>
  <c r="C12" i="51"/>
  <c r="G6" i="51"/>
  <c r="D6" i="51"/>
  <c r="Q6" i="51"/>
  <c r="P6" i="51"/>
  <c r="O6" i="51"/>
  <c r="N6" i="51"/>
  <c r="K21" i="51"/>
  <c r="K22" i="51"/>
  <c r="C11" i="51"/>
  <c r="G10" i="51"/>
  <c r="M22" i="51"/>
  <c r="W22" i="51" s="1"/>
  <c r="G14" i="51"/>
  <c r="D14" i="51"/>
  <c r="Q21" i="51"/>
  <c r="P21" i="51"/>
  <c r="O21" i="51"/>
  <c r="N21" i="51"/>
  <c r="M12" i="36"/>
  <c r="H14" i="46"/>
  <c r="K28" i="46"/>
  <c r="K27" i="46"/>
  <c r="G20" i="49"/>
  <c r="H20" i="49" s="1"/>
  <c r="C4" i="49"/>
  <c r="E12" i="49" s="1"/>
  <c r="O21" i="47"/>
  <c r="Q21" i="49"/>
  <c r="P21" i="49"/>
  <c r="O21" i="49"/>
  <c r="Q6" i="49"/>
  <c r="P6" i="49"/>
  <c r="O6" i="49"/>
  <c r="M22" i="55"/>
  <c r="R9" i="50"/>
  <c r="R10" i="50"/>
  <c r="C12" i="49"/>
  <c r="G12" i="49" s="1"/>
  <c r="G4" i="49"/>
  <c r="B16" i="48" s="1"/>
  <c r="G6" i="49"/>
  <c r="D6" i="49"/>
  <c r="C11" i="49"/>
  <c r="G10" i="49"/>
  <c r="G14" i="49"/>
  <c r="D14" i="49"/>
  <c r="W22" i="49"/>
  <c r="C12" i="47"/>
  <c r="G12" i="47" s="1"/>
  <c r="G4" i="47"/>
  <c r="B24" i="48" s="1"/>
  <c r="K13" i="47"/>
  <c r="H6" i="47"/>
  <c r="C11" i="47"/>
  <c r="G10" i="47"/>
  <c r="K28" i="47"/>
  <c r="K27" i="47"/>
  <c r="H14" i="47"/>
  <c r="Y22" i="47"/>
  <c r="C4" i="36"/>
  <c r="I12" i="36"/>
  <c r="G5" i="31"/>
  <c r="H9" i="31"/>
  <c r="C12" i="39"/>
  <c r="G12" i="39" s="1"/>
  <c r="G4" i="39"/>
  <c r="B5" i="48" s="1"/>
  <c r="K13" i="39"/>
  <c r="O6" i="39"/>
  <c r="N6" i="39"/>
  <c r="C11" i="39"/>
  <c r="G10" i="39"/>
  <c r="M22" i="39"/>
  <c r="X22" i="39" s="1"/>
  <c r="Z22" i="39" s="1"/>
  <c r="O21" i="39"/>
  <c r="N21" i="39"/>
  <c r="C12" i="46"/>
  <c r="E12" i="46"/>
  <c r="G4" i="46"/>
  <c r="K13" i="46"/>
  <c r="H6" i="46"/>
  <c r="C11" i="46"/>
  <c r="G10" i="46"/>
  <c r="C12" i="37"/>
  <c r="E12" i="37"/>
  <c r="G4" i="37"/>
  <c r="K13" i="37"/>
  <c r="H6" i="37"/>
  <c r="C11" i="37"/>
  <c r="G10" i="37"/>
  <c r="G8" i="39" l="1"/>
  <c r="D6" i="39"/>
  <c r="B21" i="48"/>
  <c r="E12" i="40"/>
  <c r="C12" i="40"/>
  <c r="G11" i="41"/>
  <c r="I11" i="41" s="1"/>
  <c r="I115" i="33"/>
  <c r="G115" i="33"/>
  <c r="E115" i="33"/>
  <c r="K114" i="33"/>
  <c r="C115" i="33"/>
  <c r="AC124" i="33"/>
  <c r="L110" i="33"/>
  <c r="M11" i="40"/>
  <c r="H14" i="34"/>
  <c r="G11" i="34"/>
  <c r="H9" i="34" s="1"/>
  <c r="K17" i="34" s="1"/>
  <c r="K18" i="34" s="1"/>
  <c r="K23" i="34" s="1"/>
  <c r="D9" i="34"/>
  <c r="C5" i="34"/>
  <c r="C19" i="34" s="1"/>
  <c r="D19" i="34" s="1"/>
  <c r="H6" i="34"/>
  <c r="G5" i="34"/>
  <c r="G19" i="34"/>
  <c r="H19" i="34" s="1"/>
  <c r="G11" i="55"/>
  <c r="I11" i="55" s="1"/>
  <c r="E20" i="48"/>
  <c r="I6" i="42"/>
  <c r="I5" i="42" s="1"/>
  <c r="B24" i="42" s="1"/>
  <c r="J9" i="40"/>
  <c r="I5" i="40"/>
  <c r="I18" i="40" s="1"/>
  <c r="J18" i="40" s="1"/>
  <c r="G11" i="54"/>
  <c r="D9" i="54"/>
  <c r="C5" i="54"/>
  <c r="C19" i="54" s="1"/>
  <c r="D19" i="54" s="1"/>
  <c r="F9" i="54"/>
  <c r="E5" i="54"/>
  <c r="E19" i="54" s="1"/>
  <c r="F19" i="54" s="1"/>
  <c r="G12" i="54"/>
  <c r="D9" i="41"/>
  <c r="C5" i="41"/>
  <c r="C19" i="41" s="1"/>
  <c r="D19" i="41" s="1"/>
  <c r="F9" i="41"/>
  <c r="E5" i="41"/>
  <c r="E19" i="41" s="1"/>
  <c r="F19" i="41" s="1"/>
  <c r="I12" i="41"/>
  <c r="K28" i="51"/>
  <c r="K27" i="51"/>
  <c r="H14" i="51"/>
  <c r="G11" i="51"/>
  <c r="D9" i="51"/>
  <c r="C5" i="51"/>
  <c r="C19" i="51" s="1"/>
  <c r="D19" i="51" s="1"/>
  <c r="K13" i="51"/>
  <c r="H6" i="51"/>
  <c r="E12" i="51"/>
  <c r="G4" i="51"/>
  <c r="B14" i="48" s="1"/>
  <c r="G12" i="51"/>
  <c r="G5" i="51" s="1"/>
  <c r="Z16" i="50" s="1"/>
  <c r="Z14" i="50" s="1"/>
  <c r="Z17" i="50" s="1"/>
  <c r="N9" i="36"/>
  <c r="M5" i="36"/>
  <c r="F9" i="49"/>
  <c r="E5" i="49"/>
  <c r="E19" i="49" s="1"/>
  <c r="F19" i="49" s="1"/>
  <c r="K28" i="49"/>
  <c r="K27" i="49"/>
  <c r="H14" i="49"/>
  <c r="G11" i="49"/>
  <c r="H9" i="49" s="1"/>
  <c r="D9" i="49"/>
  <c r="C5" i="49"/>
  <c r="C19" i="49" s="1"/>
  <c r="D19" i="49" s="1"/>
  <c r="K13" i="49"/>
  <c r="H6" i="49"/>
  <c r="Y16" i="50"/>
  <c r="Y14" i="50" s="1"/>
  <c r="Y17" i="50" s="1"/>
  <c r="G19" i="49"/>
  <c r="G11" i="47"/>
  <c r="D9" i="47"/>
  <c r="C5" i="47"/>
  <c r="C19" i="47" s="1"/>
  <c r="D19" i="47" s="1"/>
  <c r="I11" i="36"/>
  <c r="C12" i="36"/>
  <c r="E12" i="36"/>
  <c r="O12" i="36" s="1"/>
  <c r="B25" i="31"/>
  <c r="K18" i="31"/>
  <c r="K20" i="31" s="1"/>
  <c r="K25" i="31" s="1"/>
  <c r="B24" i="31"/>
  <c r="J16" i="50"/>
  <c r="J14" i="50" s="1"/>
  <c r="J17" i="50" s="1"/>
  <c r="B26" i="31"/>
  <c r="G20" i="31"/>
  <c r="H6" i="42"/>
  <c r="G18" i="42"/>
  <c r="H18" i="42" s="1"/>
  <c r="G11" i="39"/>
  <c r="D9" i="39"/>
  <c r="C5" i="39"/>
  <c r="C19" i="39" s="1"/>
  <c r="D19" i="39" s="1"/>
  <c r="G11" i="46"/>
  <c r="D9" i="46"/>
  <c r="C5" i="46"/>
  <c r="C19" i="46" s="1"/>
  <c r="D19" i="46" s="1"/>
  <c r="F9" i="46"/>
  <c r="E5" i="46"/>
  <c r="E19" i="46" s="1"/>
  <c r="F19" i="46" s="1"/>
  <c r="G12" i="46"/>
  <c r="G11" i="37"/>
  <c r="D9" i="37"/>
  <c r="C5" i="37"/>
  <c r="C19" i="37" s="1"/>
  <c r="D19" i="37" s="1"/>
  <c r="F9" i="37"/>
  <c r="E5" i="37"/>
  <c r="E19" i="37" s="1"/>
  <c r="F19" i="37" s="1"/>
  <c r="G12" i="37"/>
  <c r="F6" i="42"/>
  <c r="E18" i="42"/>
  <c r="F18" i="42" s="1"/>
  <c r="K31" i="39" l="1"/>
  <c r="H6" i="39"/>
  <c r="C5" i="40"/>
  <c r="C18" i="40" s="1"/>
  <c r="D18" i="40" s="1"/>
  <c r="D9" i="40"/>
  <c r="Q5" i="40"/>
  <c r="E5" i="40"/>
  <c r="E18" i="40" s="1"/>
  <c r="F18" i="40" s="1"/>
  <c r="F9" i="40"/>
  <c r="H9" i="41"/>
  <c r="G5" i="41"/>
  <c r="G19" i="41" s="1"/>
  <c r="H19" i="41" s="1"/>
  <c r="K115" i="33"/>
  <c r="K109" i="33" s="1"/>
  <c r="AC114" i="33" s="1"/>
  <c r="D113" i="33"/>
  <c r="C109" i="33"/>
  <c r="C121" i="33" s="1"/>
  <c r="D121" i="33" s="1"/>
  <c r="L113" i="33"/>
  <c r="B125" i="33" s="1"/>
  <c r="F113" i="33"/>
  <c r="E109" i="33"/>
  <c r="E121" i="33" s="1"/>
  <c r="F121" i="33" s="1"/>
  <c r="H113" i="33"/>
  <c r="G109" i="33"/>
  <c r="G121" i="33" s="1"/>
  <c r="H121" i="33" s="1"/>
  <c r="J113" i="33"/>
  <c r="I109" i="33"/>
  <c r="I121" i="33" s="1"/>
  <c r="J121" i="33" s="1"/>
  <c r="N9" i="40"/>
  <c r="M5" i="40"/>
  <c r="M18" i="40" s="1"/>
  <c r="N18" i="40" s="1"/>
  <c r="B23" i="34"/>
  <c r="B24" i="34"/>
  <c r="B25" i="34"/>
  <c r="I5" i="55"/>
  <c r="J9" i="55"/>
  <c r="H9" i="55"/>
  <c r="G5" i="55"/>
  <c r="G19" i="55" s="1"/>
  <c r="H19" i="55" s="1"/>
  <c r="J6" i="42"/>
  <c r="R9" i="40"/>
  <c r="H19" i="49"/>
  <c r="Y13" i="50"/>
  <c r="M19" i="36"/>
  <c r="N19" i="36" s="1"/>
  <c r="G5" i="54"/>
  <c r="H9" i="54"/>
  <c r="I5" i="41"/>
  <c r="J9" i="41"/>
  <c r="G19" i="51"/>
  <c r="F9" i="51"/>
  <c r="E5" i="51"/>
  <c r="E19" i="51" s="1"/>
  <c r="F19" i="51" s="1"/>
  <c r="B23" i="51"/>
  <c r="H9" i="51"/>
  <c r="B25" i="51"/>
  <c r="B23" i="49"/>
  <c r="B24" i="49"/>
  <c r="K17" i="49"/>
  <c r="K18" i="49" s="1"/>
  <c r="K23" i="49" s="1"/>
  <c r="B25" i="49"/>
  <c r="G5" i="47"/>
  <c r="H9" i="47"/>
  <c r="F9" i="36"/>
  <c r="E5" i="36"/>
  <c r="D9" i="36"/>
  <c r="C5" i="36"/>
  <c r="C19" i="36" s="1"/>
  <c r="D19" i="36" s="1"/>
  <c r="J9" i="36"/>
  <c r="I5" i="36"/>
  <c r="I19" i="36" s="1"/>
  <c r="J19" i="36" s="1"/>
  <c r="H20" i="31"/>
  <c r="J13" i="50"/>
  <c r="G5" i="39"/>
  <c r="H9" i="39"/>
  <c r="G5" i="46"/>
  <c r="H9" i="46"/>
  <c r="G5" i="37"/>
  <c r="H9" i="37"/>
  <c r="M13" i="42" l="1"/>
  <c r="B22" i="42"/>
  <c r="T112" i="33"/>
  <c r="Z112" i="33" s="1"/>
  <c r="K108" i="33"/>
  <c r="K121" i="33"/>
  <c r="L121" i="33" s="1"/>
  <c r="B126" i="33"/>
  <c r="B124" i="33"/>
  <c r="B24" i="55"/>
  <c r="M17" i="55"/>
  <c r="M18" i="55" s="1"/>
  <c r="M23" i="55" s="1"/>
  <c r="R16" i="50"/>
  <c r="B25" i="55"/>
  <c r="I19" i="55"/>
  <c r="B23" i="55"/>
  <c r="E19" i="36"/>
  <c r="F19" i="36" s="1"/>
  <c r="O5" i="36"/>
  <c r="B22" i="40"/>
  <c r="B24" i="40"/>
  <c r="H19" i="51"/>
  <c r="Z13" i="50"/>
  <c r="Q18" i="40"/>
  <c r="O16" i="50"/>
  <c r="O14" i="50" s="1"/>
  <c r="O17" i="50" s="1"/>
  <c r="U18" i="40"/>
  <c r="U19" i="40" s="1"/>
  <c r="U24" i="40" s="1"/>
  <c r="B23" i="40"/>
  <c r="Y12" i="50"/>
  <c r="C16" i="48"/>
  <c r="B24" i="54"/>
  <c r="K17" i="54"/>
  <c r="K18" i="54" s="1"/>
  <c r="K23" i="54" s="1"/>
  <c r="B25" i="54"/>
  <c r="B23" i="54"/>
  <c r="G19" i="54"/>
  <c r="B24" i="41"/>
  <c r="M17" i="41"/>
  <c r="M18" i="41" s="1"/>
  <c r="M23" i="41" s="1"/>
  <c r="U16" i="50"/>
  <c r="U14" i="50" s="1"/>
  <c r="U17" i="50" s="1"/>
  <c r="B25" i="41"/>
  <c r="B23" i="41"/>
  <c r="I19" i="41"/>
  <c r="B24" i="51"/>
  <c r="K17" i="51"/>
  <c r="K18" i="51" s="1"/>
  <c r="K23" i="51" s="1"/>
  <c r="B24" i="47"/>
  <c r="K17" i="47"/>
  <c r="K18" i="47" s="1"/>
  <c r="K23" i="47" s="1"/>
  <c r="B25" i="47"/>
  <c r="B23" i="47"/>
  <c r="G19" i="47"/>
  <c r="P9" i="36"/>
  <c r="J12" i="50"/>
  <c r="C7" i="48"/>
  <c r="E7" i="48" s="1"/>
  <c r="B24" i="39"/>
  <c r="K17" i="39"/>
  <c r="W16" i="50"/>
  <c r="W14" i="50" s="1"/>
  <c r="W17" i="50" s="1"/>
  <c r="B25" i="39"/>
  <c r="B23" i="39"/>
  <c r="G19" i="39"/>
  <c r="B24" i="46"/>
  <c r="K17" i="46"/>
  <c r="V16" i="50"/>
  <c r="V14" i="50" s="1"/>
  <c r="V17" i="50" s="1"/>
  <c r="B25" i="46"/>
  <c r="B23" i="46"/>
  <c r="G19" i="46"/>
  <c r="B24" i="37"/>
  <c r="K17" i="37"/>
  <c r="T16" i="50"/>
  <c r="T14" i="50" s="1"/>
  <c r="T17" i="50" s="1"/>
  <c r="B25" i="37"/>
  <c r="B23" i="37"/>
  <c r="G19" i="37"/>
  <c r="B23" i="42"/>
  <c r="P16" i="50"/>
  <c r="P14" i="50" s="1"/>
  <c r="P17" i="50" s="1"/>
  <c r="I18" i="42"/>
  <c r="H19" i="39" l="1"/>
  <c r="W13" i="50"/>
  <c r="K18" i="39"/>
  <c r="K23" i="39" s="1"/>
  <c r="J19" i="55"/>
  <c r="R14" i="50"/>
  <c r="R17" i="50" s="1"/>
  <c r="R13" i="50"/>
  <c r="K18" i="46"/>
  <c r="K23" i="46" s="1"/>
  <c r="H19" i="54"/>
  <c r="AA13" i="50"/>
  <c r="J19" i="41"/>
  <c r="U13" i="50"/>
  <c r="Z12" i="50"/>
  <c r="C14" i="48"/>
  <c r="E10" i="48" s="1"/>
  <c r="H19" i="46"/>
  <c r="V13" i="50"/>
  <c r="R18" i="40"/>
  <c r="O13" i="50"/>
  <c r="H19" i="37"/>
  <c r="T13" i="50"/>
  <c r="H19" i="47"/>
  <c r="X13" i="50"/>
  <c r="B23" i="36"/>
  <c r="B25" i="36"/>
  <c r="M16" i="50"/>
  <c r="M14" i="50" s="1"/>
  <c r="M17" i="50" s="1"/>
  <c r="O19" i="36"/>
  <c r="S17" i="36"/>
  <c r="S18" i="36" s="1"/>
  <c r="S23" i="36" s="1"/>
  <c r="B24" i="36"/>
  <c r="K18" i="37"/>
  <c r="K23" i="37" s="1"/>
  <c r="X16" i="50"/>
  <c r="X14" i="50" s="1"/>
  <c r="X17" i="50" s="1"/>
  <c r="P13" i="50"/>
  <c r="J18" i="42"/>
  <c r="AC13" i="50" l="1"/>
  <c r="AC12" i="50" s="1"/>
  <c r="W12" i="50"/>
  <c r="C5" i="48"/>
  <c r="R12" i="50"/>
  <c r="C22" i="48"/>
  <c r="E18" i="48" s="1"/>
  <c r="AA12" i="50"/>
  <c r="C4" i="48"/>
  <c r="E2" i="48" s="1"/>
  <c r="U12" i="50"/>
  <c r="C15" i="48"/>
  <c r="E15" i="48" s="1"/>
  <c r="V12" i="50"/>
  <c r="C19" i="48"/>
  <c r="E25" i="48" s="1"/>
  <c r="C21" i="48"/>
  <c r="E21" i="48" s="1"/>
  <c r="O12" i="50"/>
  <c r="T12" i="50"/>
  <c r="C11" i="48"/>
  <c r="X12" i="50"/>
  <c r="C24" i="48"/>
  <c r="M13" i="50"/>
  <c r="AD23" i="50" s="1"/>
  <c r="P19" i="36"/>
  <c r="C8" i="48"/>
  <c r="P12" i="50"/>
  <c r="E9" i="48" l="1"/>
  <c r="E8" i="48"/>
  <c r="E12" i="48"/>
  <c r="E11" i="48"/>
  <c r="E3" i="48"/>
  <c r="E19" i="48"/>
  <c r="E4" i="48"/>
  <c r="E14" i="48"/>
  <c r="E24" i="48"/>
  <c r="E27" i="48"/>
  <c r="E26" i="48"/>
  <c r="E13" i="48"/>
  <c r="E5" i="48"/>
  <c r="M12" i="50"/>
  <c r="C23" i="48"/>
  <c r="E23" i="48" s="1"/>
  <c r="E16" i="48" l="1"/>
  <c r="E22" i="4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tc={075BD8D7-31BE-4F19-8F36-CD1E9E21EB30}</author>
  </authors>
  <commentList>
    <comment ref="K5" authorId="0" shapeId="0" xr:uid="{075BD8D7-31BE-4F19-8F36-CD1E9E21EB30}">
      <text>
        <t>[Threaded comment]
Your version of Excel allows you to read this threaded comment; however, any edits to it will get removed if the file is opened in a newer version of Excel. Learn more: https://go.microsoft.com/fwlink/?linkid=870924
Comment:
    11/2024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tc={63099E75-598A-418C-9CC3-C57DCC061057}</author>
  </authors>
  <commentList>
    <comment ref="C8" authorId="0" shapeId="0" xr:uid="{63099E75-598A-418C-9CC3-C57DCC061057}">
      <text>
        <t>[Threaded comment]
Your version of Excel allows you to read this threaded comment; however, any edits to it will get removed if the file is opened in a newer version of Excel. Learn more: https://go.microsoft.com/fwlink/?linkid=870924
Comment:
    Simone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tc={E7ADBD4D-AD2D-4080-913A-84573CC880E2}</author>
  </authors>
  <commentList>
    <comment ref="K8" authorId="0" shapeId="0" xr:uid="{E7ADBD4D-AD2D-4080-913A-84573CC880E2}">
      <text>
        <t>[Threaded comment]
Your version of Excel allows you to read this threaded comment; however, any edits to it will get removed if the file is opened in a newer version of Excel. Learn more: https://go.microsoft.com/fwlink/?linkid=870924
Comment:
    Amross SIA
Reply:
    Amross, GSC</t>
      </text>
    </comment>
  </commentList>
</comments>
</file>

<file path=xl/sharedStrings.xml><?xml version="1.0" encoding="utf-8"?>
<sst xmlns="http://schemas.openxmlformats.org/spreadsheetml/2006/main" count="2733" uniqueCount="402">
  <si>
    <t>contract amount</t>
  </si>
  <si>
    <t>additional works</t>
  </si>
  <si>
    <t xml:space="preserve">total income </t>
  </si>
  <si>
    <t>project manager</t>
  </si>
  <si>
    <t>Alens</t>
  </si>
  <si>
    <t>Māris</t>
  </si>
  <si>
    <t>Alex</t>
  </si>
  <si>
    <t>Mauro</t>
  </si>
  <si>
    <t>Kristaps</t>
  </si>
  <si>
    <t>Alexander</t>
  </si>
  <si>
    <t>Kaspars</t>
  </si>
  <si>
    <t xml:space="preserve">Kaspars </t>
  </si>
  <si>
    <t>planned hours</t>
  </si>
  <si>
    <t>worked hours</t>
  </si>
  <si>
    <t>stundu bilance</t>
  </si>
  <si>
    <t>profit %</t>
  </si>
  <si>
    <t>profit EUR</t>
  </si>
  <si>
    <t>construction works  profit/ loss</t>
  </si>
  <si>
    <t>construction works  budget</t>
  </si>
  <si>
    <t>subcontractors work profit/loss</t>
  </si>
  <si>
    <t>subcontractors budget</t>
  </si>
  <si>
    <t>administrative costs 7%</t>
  </si>
  <si>
    <t>Object</t>
  </si>
  <si>
    <t xml:space="preserve">object total </t>
  </si>
  <si>
    <t>Profit (%)</t>
  </si>
  <si>
    <t>Project manager</t>
  </si>
  <si>
    <t>Kristaps/ Kaspars/Alex</t>
  </si>
  <si>
    <t>Māris/ Jevgēņijs</t>
  </si>
  <si>
    <t>VSV</t>
  </si>
  <si>
    <t>Vesuvio</t>
  </si>
  <si>
    <t>Object costs</t>
  </si>
  <si>
    <t>KPI</t>
  </si>
  <si>
    <t>Janvāris</t>
  </si>
  <si>
    <t>Februāris</t>
  </si>
  <si>
    <t>Marts</t>
  </si>
  <si>
    <t>Aprīlis</t>
  </si>
  <si>
    <t>Total</t>
  </si>
  <si>
    <t>Object address</t>
  </si>
  <si>
    <t>execution of contract</t>
  </si>
  <si>
    <t>execution of the contract</t>
  </si>
  <si>
    <t>Objekta ieņēmumi kopā</t>
  </si>
  <si>
    <t>Budget total</t>
  </si>
  <si>
    <t>Time shedule, weeks</t>
  </si>
  <si>
    <t>09/05-15/05</t>
  </si>
  <si>
    <t>16/05-22/05</t>
  </si>
  <si>
    <t>23/05-29/05</t>
  </si>
  <si>
    <t>30/05-05/06</t>
  </si>
  <si>
    <t>06/06-12/06</t>
  </si>
  <si>
    <t>13/06-21/06</t>
  </si>
  <si>
    <t>total</t>
  </si>
  <si>
    <t>planned</t>
  </si>
  <si>
    <t>Objekta tiešie izdevumi</t>
  </si>
  <si>
    <t>Direct costs</t>
  </si>
  <si>
    <t>in fact</t>
  </si>
  <si>
    <t>materiālu un aprīkojuma iegāde</t>
  </si>
  <si>
    <t>materials and equipment</t>
  </si>
  <si>
    <t>materiālu piegādes izdevumi</t>
  </si>
  <si>
    <t xml:space="preserve">delivery </t>
  </si>
  <si>
    <t>apakšuzņēmēji</t>
  </si>
  <si>
    <t>subcontractors</t>
  </si>
  <si>
    <t>darba algas</t>
  </si>
  <si>
    <t>salaries</t>
  </si>
  <si>
    <t>DD VSAOI</t>
  </si>
  <si>
    <t>tax for salaries</t>
  </si>
  <si>
    <t>Contract amount EUR</t>
  </si>
  <si>
    <t>uzkrājums atvaļinājumam</t>
  </si>
  <si>
    <t>vacation allowance</t>
  </si>
  <si>
    <t>Additional works, EUR</t>
  </si>
  <si>
    <t>administratīvie izdevumi 7%</t>
  </si>
  <si>
    <t>komandējuma dienas naudas</t>
  </si>
  <si>
    <t>travel allowance</t>
  </si>
  <si>
    <t>square m2</t>
  </si>
  <si>
    <t>komandējuma izdevumi- naktsmītne</t>
  </si>
  <si>
    <t>travel expenses (hotels)</t>
  </si>
  <si>
    <t xml:space="preserve">object square </t>
  </si>
  <si>
    <t>hours  optimal/ m2</t>
  </si>
  <si>
    <t>komandējuma izdevumi- ceļš</t>
  </si>
  <si>
    <t>travel expenses ( tickets, road costs)</t>
  </si>
  <si>
    <t>m2&lt;50</t>
  </si>
  <si>
    <t>citi izdevumi</t>
  </si>
  <si>
    <t>other expenses</t>
  </si>
  <si>
    <t>50&lt;m2&lt;100</t>
  </si>
  <si>
    <t>peļņa bruto</t>
  </si>
  <si>
    <t>profit/ loss</t>
  </si>
  <si>
    <t>materials and equipments costs</t>
  </si>
  <si>
    <t>materials and equipment costs</t>
  </si>
  <si>
    <t xml:space="preserve">Direct costs </t>
  </si>
  <si>
    <t>%</t>
  </si>
  <si>
    <t>Materials, incl.delivery, and subcontractors</t>
  </si>
  <si>
    <t>Salaries and taxes</t>
  </si>
  <si>
    <t>travel and living costs</t>
  </si>
  <si>
    <t xml:space="preserve">Other costs </t>
  </si>
  <si>
    <t>Subcontractors budget, EUR</t>
  </si>
  <si>
    <t>Payments to subcontractor, EUR</t>
  </si>
  <si>
    <t>date of report</t>
  </si>
  <si>
    <t>Unas darbs- transporta organizēšana, dokumentu kārtošana</t>
  </si>
  <si>
    <t>Kristapa darbs- preču pieņemšana, piegādes, būvgružu izvešana</t>
  </si>
  <si>
    <t>A9</t>
  </si>
  <si>
    <t>Alberta iela</t>
  </si>
  <si>
    <t>Maijs</t>
  </si>
  <si>
    <t>hours per m2</t>
  </si>
  <si>
    <t>M61, ofiss</t>
  </si>
  <si>
    <t>K18-22</t>
  </si>
  <si>
    <t>H36-34</t>
  </si>
  <si>
    <t>K18-33</t>
  </si>
  <si>
    <t>GSS, krāsošana</t>
  </si>
  <si>
    <t>Ikea</t>
  </si>
  <si>
    <t>Beļajevs, atslēgu maiņa</t>
  </si>
  <si>
    <t>PTA (veļasmašīna)</t>
  </si>
  <si>
    <t>4Room, lampas</t>
  </si>
  <si>
    <t>krāsošana (19.2 h*10)</t>
  </si>
  <si>
    <t>krāsošana, grīdas seguma maiņa</t>
  </si>
  <si>
    <t>Alens, 13.78 h</t>
  </si>
  <si>
    <t>Ikea, biroja galds Jevgenijam</t>
  </si>
  <si>
    <t>Jysk, gultas veļa, dvieļi, 56.94</t>
  </si>
  <si>
    <t>Interdepo, biroja galds, apspriežu</t>
  </si>
  <si>
    <t>būvgružu izvešana, 4 h*10, 78.26 eur</t>
  </si>
  <si>
    <t>būvgružu izvešana</t>
  </si>
  <si>
    <t>Euronics, monitori Jevgenijam/ Kristapam</t>
  </si>
  <si>
    <t>Optimera, 3.88</t>
  </si>
  <si>
    <t>Optimera, grīdas segums</t>
  </si>
  <si>
    <t>PTA, mikroviļņu krāsns</t>
  </si>
  <si>
    <t>Optimera, lampa</t>
  </si>
  <si>
    <t>M61, 58.dzīvoklis</t>
  </si>
  <si>
    <t>Ikea, interjera projekts+ mēbeles</t>
  </si>
  <si>
    <t>Jysk, gultas veļa, dvieļi</t>
  </si>
  <si>
    <t>PTA, veļasmašīna</t>
  </si>
  <si>
    <t>Rimi, virtuves piederumi</t>
  </si>
  <si>
    <t>PTA, trauku mašīna, 27/12/2024</t>
  </si>
  <si>
    <t>Oktobris</t>
  </si>
  <si>
    <t>Novembris</t>
  </si>
  <si>
    <t>Decembris</t>
  </si>
  <si>
    <t>Akustisko paneļu montāža</t>
  </si>
  <si>
    <t>Ģipškartona darbi?</t>
  </si>
  <si>
    <t>avanss Produs</t>
  </si>
  <si>
    <t>avanss Nordeca</t>
  </si>
  <si>
    <t xml:space="preserve">SPICE </t>
  </si>
  <si>
    <t>Rīga, 21/10-?</t>
  </si>
  <si>
    <t xml:space="preserve">General data </t>
  </si>
  <si>
    <t>komandējuma izdevumi (administrācija)</t>
  </si>
  <si>
    <t>travel expenses (administration)</t>
  </si>
  <si>
    <t>hours cost in fact</t>
  </si>
  <si>
    <t>plānotā peļņa</t>
  </si>
  <si>
    <t>planned profit</t>
  </si>
  <si>
    <t>actual costs</t>
  </si>
  <si>
    <t xml:space="preserve">planned costs </t>
  </si>
  <si>
    <t>m2 costs</t>
  </si>
  <si>
    <t>living costs per worked hour</t>
  </si>
  <si>
    <t>HAM</t>
  </si>
  <si>
    <t>Calzedonia store Phoenix Center, Hannoversche Str. 86, 21079 , Hamburg, Germania 1/10/2024-(22/10/2024) 12/11/2024</t>
  </si>
  <si>
    <t>1/10-6/10</t>
  </si>
  <si>
    <t>7/10-13/10</t>
  </si>
  <si>
    <t>14/10-20/10</t>
  </si>
  <si>
    <t>21/10-22/10</t>
  </si>
  <si>
    <t>31/10-10/11</t>
  </si>
  <si>
    <t>11/11/-12/11</t>
  </si>
  <si>
    <t>BERG</t>
  </si>
  <si>
    <t>Calzedonia and Intimissimi Hauptstraße 152, 51465 Bergisch Gladbach, Germany 25/09/2024-(22/10/2024) 9/11/2024</t>
  </si>
  <si>
    <t>Septembris</t>
  </si>
  <si>
    <t>25/09-29/09</t>
  </si>
  <si>
    <t>30/09-06/10</t>
  </si>
  <si>
    <t>07/10-13/10</t>
  </si>
  <si>
    <t>21/10-27/10</t>
  </si>
  <si>
    <t>28/10-</t>
  </si>
  <si>
    <t>avansi</t>
  </si>
  <si>
    <t>WIE2</t>
  </si>
  <si>
    <t xml:space="preserve"> Calzedonia  Mariahilfer Str. 88, 1070 Wien, Austria 16/09-09/10</t>
  </si>
  <si>
    <t>16/09-22/09</t>
  </si>
  <si>
    <t>23/09-29/09</t>
  </si>
  <si>
    <t>30/09-6/10</t>
  </si>
  <si>
    <t>7/10-9/10</t>
  </si>
  <si>
    <t>MUN</t>
  </si>
  <si>
    <t xml:space="preserve"> Calzedonia and Intimissimi SC Riem Arcaden Willy-Brandt-Platz 5, 81829 München, Germany 19/08-16/09</t>
  </si>
  <si>
    <t>Augusts</t>
  </si>
  <si>
    <t>19/08-25/08</t>
  </si>
  <si>
    <t>26/08-01/09</t>
  </si>
  <si>
    <t>2/09-8/09</t>
  </si>
  <si>
    <t>09/08-16/09</t>
  </si>
  <si>
    <t>Riga Wood</t>
  </si>
  <si>
    <t>EL Support</t>
  </si>
  <si>
    <t>KOPĀ</t>
  </si>
  <si>
    <t>Calzedonia</t>
  </si>
  <si>
    <t>Intimissimi</t>
  </si>
  <si>
    <t>ING</t>
  </si>
  <si>
    <t>Calzedonia Am Westpark 6, 85057 Ingolstadt, Germany, 2/08/2024-22/08/2024</t>
  </si>
  <si>
    <t>2/8-11/8</t>
  </si>
  <si>
    <t>12/08-18/08</t>
  </si>
  <si>
    <t>ir ok, bez Alex</t>
  </si>
  <si>
    <t>Megie</t>
  </si>
  <si>
    <t>Buchl</t>
  </si>
  <si>
    <t>LULU2</t>
  </si>
  <si>
    <t>lululemon , Existing Store Demolition Works, 08/07-22/07</t>
  </si>
  <si>
    <t>Jūlijs</t>
  </si>
  <si>
    <t>08/07-14/07</t>
  </si>
  <si>
    <t>15/07-21/07</t>
  </si>
  <si>
    <t>09/09-15/09</t>
  </si>
  <si>
    <t>Buildup rēķini</t>
  </si>
  <si>
    <t>nr.</t>
  </si>
  <si>
    <t>SEK</t>
  </si>
  <si>
    <t>EUR</t>
  </si>
  <si>
    <t>Big BAg</t>
  </si>
  <si>
    <t>Easy Flat</t>
  </si>
  <si>
    <t>Lantz</t>
  </si>
  <si>
    <t>Artel</t>
  </si>
  <si>
    <t>Cramo</t>
  </si>
  <si>
    <t>Stromfeldt</t>
  </si>
  <si>
    <t>LIN</t>
  </si>
  <si>
    <t xml:space="preserve"> Intimissimi Landstraße 9, 4020 Linz, Austria , 09/09/2024-(22)25/09/2024</t>
  </si>
  <si>
    <t>23/09-25/09</t>
  </si>
  <si>
    <t>WTW konteiners</t>
  </si>
  <si>
    <t>WIE</t>
  </si>
  <si>
    <t>Calzedonia SC Fischapark, Zehnergürtel 12/24, 2700 Wiener Neustadt, Austria, 19/08-1/09</t>
  </si>
  <si>
    <t>02/09-8/09</t>
  </si>
  <si>
    <t>9/09-15/09</t>
  </si>
  <si>
    <t>25/09-01/10</t>
  </si>
  <si>
    <t>02/10-06/10</t>
  </si>
  <si>
    <t>SEI</t>
  </si>
  <si>
    <t>Intimissimi Shopping City Seiersberg, 8055 Seiersberg, Austria , 25/07/2024-25/08/2024</t>
  </si>
  <si>
    <t>25/07-28/07</t>
  </si>
  <si>
    <t>29/07-04/08</t>
  </si>
  <si>
    <t>05/08-11/08</t>
  </si>
  <si>
    <t>30/08-31/08</t>
  </si>
  <si>
    <t>ir ok, add.works</t>
  </si>
  <si>
    <t>KRE</t>
  </si>
  <si>
    <t>Calzedonia restyling Obere Landstrasse 6, Krems, Austria, 26/08-08/09</t>
  </si>
  <si>
    <t>02/09-08/09</t>
  </si>
  <si>
    <t>05/09-07/09</t>
  </si>
  <si>
    <t>STK</t>
  </si>
  <si>
    <t>Stockholm, Calzedonia and Intimissimi  22/04-28/04/2024</t>
  </si>
  <si>
    <t>22/04-28/04</t>
  </si>
  <si>
    <t>11/09-17/09</t>
  </si>
  <si>
    <t>18/09-24/09</t>
  </si>
  <si>
    <t>komandējuma izdevumi- administrācija</t>
  </si>
  <si>
    <t>25/09-02/10</t>
  </si>
  <si>
    <t>]</t>
  </si>
  <si>
    <t>LULU</t>
  </si>
  <si>
    <t>lululemon store Biblioteksgatan nr. 9, 11146 Stockholm, Sweden 06/05/2024-28/06/2024</t>
  </si>
  <si>
    <t>Jūnijs</t>
  </si>
  <si>
    <t>06/05-12/05</t>
  </si>
  <si>
    <t>13/05-19/05</t>
  </si>
  <si>
    <t>20/05-26/05</t>
  </si>
  <si>
    <t>27/05-02/06</t>
  </si>
  <si>
    <t>03/06-09/06</t>
  </si>
  <si>
    <t>10/06-16/06</t>
  </si>
  <si>
    <t>17/06-23/06</t>
  </si>
  <si>
    <t>24/06-30/06</t>
  </si>
  <si>
    <t>01/07-07/07</t>
  </si>
  <si>
    <t>02/05-12/05</t>
  </si>
  <si>
    <t>24/06-28/06</t>
  </si>
  <si>
    <t>Contract amount SEK</t>
  </si>
  <si>
    <t>exchange rate</t>
  </si>
  <si>
    <t>garantijas ieturējums</t>
  </si>
  <si>
    <t>pēdējais maksājums</t>
  </si>
  <si>
    <t>Iemaksātie avansi, gaidām preci</t>
  </si>
  <si>
    <t>EasyFlat, dzīvošana 05</t>
  </si>
  <si>
    <t>Produs</t>
  </si>
  <si>
    <t>EasyFlat, dzīvošana 06</t>
  </si>
  <si>
    <t>Kondair</t>
  </si>
  <si>
    <t>EasyFlat, dzīvošana 07</t>
  </si>
  <si>
    <t>AJ Produkti</t>
  </si>
  <si>
    <t>Salons Objekts</t>
  </si>
  <si>
    <t>Stokker</t>
  </si>
  <si>
    <t>SGM</t>
  </si>
  <si>
    <t>High Competent Sweden AB</t>
  </si>
  <si>
    <t>Artel AB, elektriķi 05</t>
  </si>
  <si>
    <t>Artel AB, elektriķi 07</t>
  </si>
  <si>
    <t xml:space="preserve">Artel AB, elektriķi  </t>
  </si>
  <si>
    <t>Motala, līgumssumma</t>
  </si>
  <si>
    <t>Strömfeldt Projektpartner AB</t>
  </si>
  <si>
    <t>2408/9</t>
  </si>
  <si>
    <t>tretum</t>
  </si>
  <si>
    <t>BST sprinkleri</t>
  </si>
  <si>
    <t>BST Brandskyddsteamet AB</t>
  </si>
  <si>
    <t>Babbis Panagiotidis</t>
  </si>
  <si>
    <t>Larm Teletjanst</t>
  </si>
  <si>
    <t>Optimera</t>
  </si>
  <si>
    <t>6759525-00</t>
  </si>
  <si>
    <t>BigBag</t>
  </si>
  <si>
    <t>weDRAW AB</t>
  </si>
  <si>
    <t>240-4</t>
  </si>
  <si>
    <t>Stockholms Stadt</t>
  </si>
  <si>
    <t>Buildup apmaksātie rēķini</t>
  </si>
  <si>
    <t>Buildup samaksāts</t>
  </si>
  <si>
    <t>Flakt group</t>
  </si>
  <si>
    <t>Bevego</t>
  </si>
  <si>
    <t>Stockholm Stadt</t>
  </si>
  <si>
    <t>2407/9</t>
  </si>
  <si>
    <t>FRA</t>
  </si>
  <si>
    <t>Stenders store construction, Main-Taunus-Zentrum 1, 65843 Sulzbach (Taunus), Vācija, 15.05.2024-7.07.2024, 08.08.2024-15.08.2024</t>
  </si>
  <si>
    <t>Maijs 2024</t>
  </si>
  <si>
    <t>Jūnijs 2024</t>
  </si>
  <si>
    <t>Jūlijs 2024</t>
  </si>
  <si>
    <t>15/05-19/05</t>
  </si>
  <si>
    <t>03/06-07/06</t>
  </si>
  <si>
    <t>augusts</t>
  </si>
  <si>
    <t>septembris</t>
  </si>
  <si>
    <t>oktobris</t>
  </si>
  <si>
    <t>FR_2024-04-1</t>
  </si>
  <si>
    <t>+PVN</t>
  </si>
  <si>
    <t>5 darba dienas</t>
  </si>
  <si>
    <t>OLA</t>
  </si>
  <si>
    <t>Sinsay store ShC OLANIJA, located in Zeiferta street 6, Olaine, Latvia, LV-2114, 15/04/2024-14/06/2024</t>
  </si>
  <si>
    <t>15/04-21/04</t>
  </si>
  <si>
    <t>29/04-05/05</t>
  </si>
  <si>
    <t>08/06-14/06</t>
  </si>
  <si>
    <t>Avansi apakšuzņēmējiem</t>
  </si>
  <si>
    <t>ElektroLAt</t>
  </si>
  <si>
    <t>Ekosilti</t>
  </si>
  <si>
    <t>MAT</t>
  </si>
  <si>
    <t>Matrožu iela 15, Rīga, 04/04/2024-30/05/2024, 14/06/2024-?</t>
  </si>
  <si>
    <t>04/04-14/04</t>
  </si>
  <si>
    <t>27/05-30/05</t>
  </si>
  <si>
    <t>14/06-23/06</t>
  </si>
  <si>
    <t>LEI</t>
  </si>
  <si>
    <t>Calzedonia LEIDEN_HAARLEMERSTRAAT_114, 04/04/2024-(08/05/2024) 30/04/2024</t>
  </si>
  <si>
    <t>06/05-08/05</t>
  </si>
  <si>
    <t>STO</t>
  </si>
  <si>
    <t>Crema de la Creme space in Stockman, 13.janvāra iela 8, Riga, 26/02/2024- (17/03/2024)02/05/2024</t>
  </si>
  <si>
    <t>Aprīlis/maijs</t>
  </si>
  <si>
    <t>marts</t>
  </si>
  <si>
    <t>aprīlis</t>
  </si>
  <si>
    <t>maijs</t>
  </si>
  <si>
    <t>hours costs planned</t>
  </si>
  <si>
    <t>planned costs</t>
  </si>
  <si>
    <t>elektrība</t>
  </si>
  <si>
    <t>GSS</t>
  </si>
  <si>
    <t>WDON</t>
  </si>
  <si>
    <t>Calzedonia Sc Donauzentrum, Dr-Adolf-Schrf-Platz 4, EG 138c 1220 Wien, Austria 04/03/2024-17/03/2024</t>
  </si>
  <si>
    <t>Marts 2024</t>
  </si>
  <si>
    <t>04/03-10/03</t>
  </si>
  <si>
    <t>10/03-17/03</t>
  </si>
  <si>
    <t>01/05-07/05</t>
  </si>
  <si>
    <t>08/05-14/05</t>
  </si>
  <si>
    <t>15/05-21/05</t>
  </si>
  <si>
    <t>BUAK</t>
  </si>
  <si>
    <t>11/03-17/03</t>
  </si>
  <si>
    <t>08/05-09/05</t>
  </si>
  <si>
    <t>KLA</t>
  </si>
  <si>
    <t>Intimissimi shopping mall Akropolis, Taikos pr. 61, Klaipėda 91182, Lithuania 20/02/2024-26/02/2024</t>
  </si>
  <si>
    <t>Februāris 2024</t>
  </si>
  <si>
    <t>20/02-26/02</t>
  </si>
  <si>
    <t>GRA</t>
  </si>
  <si>
    <t>Intimissimi Herrengasse 28, Graz, Austria, 19/02/2024-03/03/2024</t>
  </si>
  <si>
    <t>19/02-25/02</t>
  </si>
  <si>
    <t>26/02-03/03</t>
  </si>
  <si>
    <t>mtr. un aprīkojuma iegāde</t>
  </si>
  <si>
    <t>mtr. piegādes izdevumi</t>
  </si>
  <si>
    <t xml:space="preserve">BUAK </t>
  </si>
  <si>
    <t>kom. dienas naudas</t>
  </si>
  <si>
    <t>kom. izdevumi- naktsmītne</t>
  </si>
  <si>
    <t>kom. izdevumi- ceļš</t>
  </si>
  <si>
    <t>13/03-19/03</t>
  </si>
  <si>
    <t>20/03-26/03</t>
  </si>
  <si>
    <t>27/03-02/04</t>
  </si>
  <si>
    <t>03/04-09/04</t>
  </si>
  <si>
    <t>10/04-12/04</t>
  </si>
  <si>
    <t>23/04-30/04</t>
  </si>
  <si>
    <t>01/05-04/05</t>
  </si>
  <si>
    <t>BRA</t>
  </si>
  <si>
    <t>Calzedonia and Intimissimi SC SCHLOSS ARKADEN BRAUNSCHWEIG 04/02/2024-(02/03/2024/)07/03/2024</t>
  </si>
  <si>
    <t>04/02-11/02</t>
  </si>
  <si>
    <t>12/02-18/02</t>
  </si>
  <si>
    <t>actual cost</t>
  </si>
  <si>
    <t>līguma summa</t>
  </si>
  <si>
    <t>līguma samazinājums</t>
  </si>
  <si>
    <t xml:space="preserve">KOPĀ: </t>
  </si>
  <si>
    <t>jaunais līgums</t>
  </si>
  <si>
    <t>samazinājums</t>
  </si>
  <si>
    <t>VIL</t>
  </si>
  <si>
    <t>Calzedonia SC ATRIO Villach, Kärntner Str. 34, 9500 Villach, Austria, 16/01/2024-29/01/2024</t>
  </si>
  <si>
    <t>Marts 22</t>
  </si>
  <si>
    <t>16/01-21/01</t>
  </si>
  <si>
    <t>22/01-29/01</t>
  </si>
  <si>
    <t>KOB</t>
  </si>
  <si>
    <t>Intimissimi  SC Forum Mittelrhein Koblenz Zentralpl. 2, 56068 Koblenz, Germany, 23/01/2024-19(10)/02/2024</t>
  </si>
  <si>
    <t>23/01-28/01</t>
  </si>
  <si>
    <t>29/01-04/02</t>
  </si>
  <si>
    <t>05/02-10/02</t>
  </si>
  <si>
    <t xml:space="preserve">actual costs </t>
  </si>
  <si>
    <t>SWA</t>
  </si>
  <si>
    <t>Galeria Inno Liege Pl. de la République Francaise 15B-4000 LIEGE, Belgium</t>
  </si>
  <si>
    <t>MOS</t>
  </si>
  <si>
    <t>Calzedonia Mall of Scandinavia, 22/01/2024-31/01/2024</t>
  </si>
  <si>
    <t>Marts-24</t>
  </si>
  <si>
    <t>22/01-28/01</t>
  </si>
  <si>
    <t>29/01-31/01</t>
  </si>
  <si>
    <t>add.works</t>
  </si>
  <si>
    <t>avanss 50%</t>
  </si>
  <si>
    <t>gala maksājums 50%</t>
  </si>
  <si>
    <t>Līgums SEK</t>
  </si>
  <si>
    <t>kurss</t>
  </si>
  <si>
    <t>Līgums EUR</t>
  </si>
  <si>
    <t>Atjaunotais līgums SEK</t>
  </si>
  <si>
    <t>Big Bag</t>
  </si>
  <si>
    <t>GAL</t>
  </si>
  <si>
    <t>Intimissimi Stockholm Gallerian, 08/01/2024-17/01/2024</t>
  </si>
  <si>
    <t>Marts 23</t>
  </si>
  <si>
    <t>08/01-14/01</t>
  </si>
  <si>
    <t>15/01-17/01</t>
  </si>
  <si>
    <t>papilddarbi SEK</t>
  </si>
  <si>
    <t>papilddarbi EUR</t>
  </si>
  <si>
    <t>Glasbolaget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</si>
</sst>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sz val="2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186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  <charset val="186"/>
    </font>
    <font>
      <sz val="20"/>
      <color rgb="FF444444"/>
      <name val="Calibri"/>
      <family val="2"/>
      <charset val="1"/>
    </font>
    <font>
      <sz val="11"/>
      <color indexed="8"/>
      <name val="Calibri"/>
      <charset val="1"/>
    </font>
    <font>
      <b/>
      <sz val="20"/>
      <color rgb="FF000000"/>
      <name val="Calibri"/>
    </font>
    <font>
      <sz val="16"/>
      <color rgb="FF000000"/>
      <name val="Calibri"/>
      <charset val="1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Bookman Old Style"/>
      <family val="1"/>
      <charset val="1"/>
    </font>
    <font>
      <sz val="12"/>
      <color theme="1"/>
      <name val="Calibri"/>
      <family val="2"/>
      <scheme val="minor"/>
    </font>
    <font>
      <sz val="14"/>
      <color rgb="FF444444"/>
      <name val="Calibri"/>
      <family val="2"/>
      <charset val="1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242424"/>
      <name val="Aptos Narrow"/>
      <charset val="1"/>
    </font>
    <font>
      <i/>
      <sz val="11"/>
      <color theme="1"/>
      <name val="Calibri"/>
      <family val="2"/>
      <scheme val="minor"/>
    </font>
    <font>
      <sz val="11"/>
      <color rgb="FF242424"/>
      <name val="Calibri"/>
      <family val="2"/>
      <charset val="1"/>
    </font>
    <font>
      <b/>
      <sz val="10"/>
      <color rgb="FF00000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CD7F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3" fillId="0" borderId="0"/>
    <xf numFmtId="9" fontId="10" fillId="0" borderId="0" applyFont="0" applyFill="0" applyBorder="0" applyAlignment="0" applyProtection="0"/>
    <xf numFmtId="0" fontId="25" fillId="0" borderId="0"/>
    <xf numFmtId="0" fontId="30" fillId="0" borderId="0" applyNumberFormat="0" applyFill="0" applyBorder="0" applyAlignment="0" applyProtection="0"/>
  </cellStyleXfs>
  <cellXfs count="752">
    <xf numFmtId="0" fontId="0" fillId="0" borderId="0" xfId="0"/>
    <xf numFmtId="2" fontId="0" fillId="0" borderId="0" xfId="0" applyNumberFormat="1"/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8" xfId="0" applyFont="1" applyBorder="1"/>
    <xf numFmtId="0" fontId="3" fillId="0" borderId="10" xfId="1" applyBorder="1" applyAlignment="1">
      <alignment vertical="center" wrapText="1"/>
    </xf>
    <xf numFmtId="0" fontId="4" fillId="0" borderId="0" xfId="0" applyFont="1"/>
    <xf numFmtId="2" fontId="2" fillId="4" borderId="6" xfId="0" applyNumberFormat="1" applyFont="1" applyFill="1" applyBorder="1" applyAlignment="1">
      <alignment horizontal="right"/>
    </xf>
    <xf numFmtId="2" fontId="0" fillId="0" borderId="3" xfId="0" applyNumberFormat="1" applyBorder="1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0" borderId="15" xfId="0" applyBorder="1"/>
    <xf numFmtId="0" fontId="2" fillId="0" borderId="18" xfId="0" applyFont="1" applyBorder="1"/>
    <xf numFmtId="0" fontId="3" fillId="0" borderId="15" xfId="1" applyBorder="1" applyAlignment="1">
      <alignment vertical="center" wrapText="1"/>
    </xf>
    <xf numFmtId="0" fontId="0" fillId="3" borderId="15" xfId="0" applyFill="1" applyBorder="1"/>
    <xf numFmtId="2" fontId="2" fillId="2" borderId="6" xfId="0" applyNumberFormat="1" applyFont="1" applyFill="1" applyBorder="1" applyAlignment="1">
      <alignment horizontal="right"/>
    </xf>
    <xf numFmtId="0" fontId="0" fillId="5" borderId="16" xfId="0" applyFill="1" applyBorder="1"/>
    <xf numFmtId="0" fontId="3" fillId="0" borderId="23" xfId="1" applyBorder="1" applyAlignment="1">
      <alignment vertical="center" wrapText="1"/>
    </xf>
    <xf numFmtId="0" fontId="0" fillId="3" borderId="23" xfId="0" applyFill="1" applyBorder="1"/>
    <xf numFmtId="0" fontId="3" fillId="0" borderId="24" xfId="1" applyBorder="1" applyAlignment="1">
      <alignment vertical="center" wrapText="1"/>
    </xf>
    <xf numFmtId="0" fontId="3" fillId="6" borderId="23" xfId="1" applyFill="1" applyBorder="1" applyAlignment="1">
      <alignment vertical="center" wrapText="1"/>
    </xf>
    <xf numFmtId="2" fontId="0" fillId="0" borderId="16" xfId="0" applyNumberFormat="1" applyBorder="1" applyAlignment="1">
      <alignment horizontal="right"/>
    </xf>
    <xf numFmtId="2" fontId="0" fillId="0" borderId="23" xfId="0" applyNumberFormat="1" applyBorder="1" applyAlignment="1">
      <alignment horizontal="right"/>
    </xf>
    <xf numFmtId="2" fontId="0" fillId="0" borderId="17" xfId="0" applyNumberFormat="1" applyBorder="1" applyAlignment="1">
      <alignment horizontal="right"/>
    </xf>
    <xf numFmtId="0" fontId="0" fillId="0" borderId="7" xfId="0" applyBorder="1" applyAlignment="1">
      <alignment horizontal="center" wrapText="1"/>
    </xf>
    <xf numFmtId="0" fontId="6" fillId="0" borderId="12" xfId="0" applyFont="1" applyBorder="1"/>
    <xf numFmtId="0" fontId="6" fillId="0" borderId="7" xfId="0" applyFont="1" applyBorder="1"/>
    <xf numFmtId="0" fontId="0" fillId="0" borderId="7" xfId="0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9" fontId="0" fillId="7" borderId="27" xfId="2" applyFont="1" applyFill="1" applyBorder="1" applyAlignment="1">
      <alignment horizontal="center"/>
    </xf>
    <xf numFmtId="9" fontId="0" fillId="7" borderId="6" xfId="2" applyFont="1" applyFill="1" applyBorder="1" applyAlignment="1">
      <alignment horizontal="center"/>
    </xf>
    <xf numFmtId="0" fontId="0" fillId="0" borderId="12" xfId="0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9" fontId="0" fillId="8" borderId="27" xfId="0" applyNumberFormat="1" applyFill="1" applyBorder="1" applyAlignment="1">
      <alignment horizontal="center"/>
    </xf>
    <xf numFmtId="9" fontId="0" fillId="8" borderId="6" xfId="0" applyNumberFormat="1" applyFill="1" applyBorder="1" applyAlignment="1">
      <alignment horizontal="center"/>
    </xf>
    <xf numFmtId="9" fontId="0" fillId="7" borderId="28" xfId="0" applyNumberFormat="1" applyFill="1" applyBorder="1" applyAlignment="1">
      <alignment horizontal="center"/>
    </xf>
    <xf numFmtId="9" fontId="0" fillId="7" borderId="14" xfId="0" applyNumberFormat="1" applyFill="1" applyBorder="1" applyAlignment="1">
      <alignment horizontal="center"/>
    </xf>
    <xf numFmtId="9" fontId="0" fillId="7" borderId="29" xfId="0" applyNumberFormat="1" applyFill="1" applyBorder="1" applyAlignment="1">
      <alignment horizontal="center"/>
    </xf>
    <xf numFmtId="0" fontId="0" fillId="6" borderId="16" xfId="0" applyFill="1" applyBorder="1" applyAlignment="1">
      <alignment vertical="center"/>
    </xf>
    <xf numFmtId="1" fontId="0" fillId="7" borderId="14" xfId="0" applyNumberFormat="1" applyFill="1" applyBorder="1" applyAlignment="1">
      <alignment horizontal="center"/>
    </xf>
    <xf numFmtId="1" fontId="0" fillId="7" borderId="29" xfId="0" applyNumberFormat="1" applyFill="1" applyBorder="1" applyAlignment="1">
      <alignment horizontal="center"/>
    </xf>
    <xf numFmtId="9" fontId="0" fillId="8" borderId="30" xfId="0" applyNumberFormat="1" applyFill="1" applyBorder="1" applyAlignment="1">
      <alignment horizontal="center"/>
    </xf>
    <xf numFmtId="9" fontId="13" fillId="8" borderId="16" xfId="0" applyNumberFormat="1" applyFont="1" applyFill="1" applyBorder="1" applyAlignment="1">
      <alignment horizontal="center"/>
    </xf>
    <xf numFmtId="9" fontId="0" fillId="8" borderId="26" xfId="0" applyNumberFormat="1" applyFill="1" applyBorder="1" applyAlignment="1">
      <alignment horizontal="center"/>
    </xf>
    <xf numFmtId="9" fontId="0" fillId="8" borderId="16" xfId="0" applyNumberForma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1" fontId="5" fillId="7" borderId="7" xfId="0" applyNumberFormat="1" applyFont="1" applyFill="1" applyBorder="1" applyAlignment="1">
      <alignment horizontal="center"/>
    </xf>
    <xf numFmtId="0" fontId="0" fillId="6" borderId="17" xfId="0" applyFill="1" applyBorder="1" applyAlignment="1">
      <alignment vertical="center"/>
    </xf>
    <xf numFmtId="0" fontId="0" fillId="8" borderId="14" xfId="0" applyFill="1" applyBorder="1" applyAlignment="1">
      <alignment horizontal="center"/>
    </xf>
    <xf numFmtId="1" fontId="13" fillId="8" borderId="14" xfId="0" applyNumberFormat="1" applyFont="1" applyFill="1" applyBorder="1" applyAlignment="1">
      <alignment horizontal="center"/>
    </xf>
    <xf numFmtId="1" fontId="13" fillId="8" borderId="29" xfId="0" applyNumberFormat="1" applyFont="1" applyFill="1" applyBorder="1" applyAlignment="1">
      <alignment horizontal="center"/>
    </xf>
    <xf numFmtId="0" fontId="0" fillId="9" borderId="14" xfId="0" applyFill="1" applyBorder="1"/>
    <xf numFmtId="9" fontId="0" fillId="9" borderId="14" xfId="0" applyNumberFormat="1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/>
    <xf numFmtId="0" fontId="0" fillId="8" borderId="11" xfId="0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0" fillId="9" borderId="14" xfId="0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/>
    </xf>
    <xf numFmtId="0" fontId="0" fillId="6" borderId="7" xfId="0" applyFill="1" applyBorder="1" applyAlignment="1">
      <alignment vertical="center" wrapText="1"/>
    </xf>
    <xf numFmtId="1" fontId="0" fillId="7" borderId="7" xfId="0" applyNumberFormat="1" applyFill="1" applyBorder="1" applyAlignment="1">
      <alignment horizontal="center"/>
    </xf>
    <xf numFmtId="1" fontId="13" fillId="7" borderId="7" xfId="0" applyNumberFormat="1" applyFont="1" applyFill="1" applyBorder="1" applyAlignment="1">
      <alignment horizontal="center"/>
    </xf>
    <xf numFmtId="1" fontId="0" fillId="8" borderId="7" xfId="0" applyNumberFormat="1" applyFill="1" applyBorder="1" applyAlignment="1">
      <alignment horizontal="center"/>
    </xf>
    <xf numFmtId="1" fontId="13" fillId="8" borderId="7" xfId="0" applyNumberFormat="1" applyFont="1" applyFill="1" applyBorder="1" applyAlignment="1">
      <alignment horizontal="center"/>
    </xf>
    <xf numFmtId="1" fontId="7" fillId="8" borderId="11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6" fillId="0" borderId="10" xfId="1" applyFont="1" applyBorder="1" applyAlignment="1">
      <alignment vertical="center" wrapText="1"/>
    </xf>
    <xf numFmtId="0" fontId="15" fillId="3" borderId="13" xfId="0" applyFont="1" applyFill="1" applyBorder="1"/>
    <xf numFmtId="2" fontId="0" fillId="5" borderId="16" xfId="0" applyNumberFormat="1" applyFill="1" applyBorder="1"/>
    <xf numFmtId="0" fontId="0" fillId="0" borderId="32" xfId="0" applyBorder="1"/>
    <xf numFmtId="0" fontId="2" fillId="0" borderId="34" xfId="0" applyFont="1" applyBorder="1"/>
    <xf numFmtId="0" fontId="0" fillId="0" borderId="35" xfId="0" applyBorder="1"/>
    <xf numFmtId="2" fontId="1" fillId="0" borderId="36" xfId="0" applyNumberFormat="1" applyFont="1" applyBorder="1"/>
    <xf numFmtId="0" fontId="15" fillId="3" borderId="37" xfId="0" applyFont="1" applyFill="1" applyBorder="1"/>
    <xf numFmtId="0" fontId="3" fillId="0" borderId="0" xfId="1" applyAlignment="1">
      <alignment vertical="center" wrapText="1"/>
    </xf>
    <xf numFmtId="2" fontId="1" fillId="0" borderId="38" xfId="0" applyNumberFormat="1" applyFont="1" applyBorder="1"/>
    <xf numFmtId="0" fontId="15" fillId="3" borderId="32" xfId="0" applyFont="1" applyFill="1" applyBorder="1"/>
    <xf numFmtId="0" fontId="16" fillId="0" borderId="0" xfId="1" applyFont="1" applyAlignment="1">
      <alignment vertical="center" wrapText="1"/>
    </xf>
    <xf numFmtId="0" fontId="15" fillId="3" borderId="39" xfId="0" applyFont="1" applyFill="1" applyBorder="1"/>
    <xf numFmtId="0" fontId="0" fillId="3" borderId="0" xfId="0" applyFill="1"/>
    <xf numFmtId="2" fontId="0" fillId="0" borderId="38" xfId="0" applyNumberFormat="1" applyBorder="1"/>
    <xf numFmtId="2" fontId="0" fillId="0" borderId="40" xfId="0" applyNumberFormat="1" applyBorder="1"/>
    <xf numFmtId="0" fontId="15" fillId="6" borderId="32" xfId="0" applyFont="1" applyFill="1" applyBorder="1"/>
    <xf numFmtId="0" fontId="16" fillId="6" borderId="0" xfId="1" applyFont="1" applyFill="1" applyAlignment="1">
      <alignment vertical="center" wrapText="1"/>
    </xf>
    <xf numFmtId="2" fontId="0" fillId="0" borderId="35" xfId="0" applyNumberFormat="1" applyBorder="1"/>
    <xf numFmtId="0" fontId="15" fillId="3" borderId="37" xfId="0" applyFont="1" applyFill="1" applyBorder="1" applyAlignment="1">
      <alignment vertical="center" wrapText="1"/>
    </xf>
    <xf numFmtId="0" fontId="15" fillId="3" borderId="32" xfId="0" applyFont="1" applyFill="1" applyBorder="1" applyAlignment="1">
      <alignment vertical="center" wrapText="1"/>
    </xf>
    <xf numFmtId="9" fontId="2" fillId="0" borderId="36" xfId="0" applyNumberFormat="1" applyFont="1" applyBorder="1"/>
    <xf numFmtId="0" fontId="2" fillId="0" borderId="32" xfId="0" applyFont="1" applyBorder="1"/>
    <xf numFmtId="0" fontId="2" fillId="0" borderId="0" xfId="0" applyFont="1"/>
    <xf numFmtId="0" fontId="0" fillId="0" borderId="38" xfId="0" applyBorder="1"/>
    <xf numFmtId="0" fontId="2" fillId="0" borderId="37" xfId="0" applyFont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5" fillId="0" borderId="32" xfId="0" applyFont="1" applyBorder="1" applyAlignment="1">
      <alignment wrapText="1"/>
    </xf>
    <xf numFmtId="1" fontId="1" fillId="0" borderId="0" xfId="0" applyNumberFormat="1" applyFont="1" applyAlignment="1">
      <alignment horizontal="center" vertical="center"/>
    </xf>
    <xf numFmtId="0" fontId="15" fillId="0" borderId="32" xfId="0" applyFont="1" applyBorder="1"/>
    <xf numFmtId="0" fontId="15" fillId="0" borderId="39" xfId="0" applyFont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45" xfId="0" applyFont="1" applyBorder="1"/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6" borderId="46" xfId="0" applyFill="1" applyBorder="1" applyAlignment="1">
      <alignment wrapText="1"/>
    </xf>
    <xf numFmtId="1" fontId="0" fillId="7" borderId="36" xfId="0" applyNumberFormat="1" applyFill="1" applyBorder="1" applyAlignment="1">
      <alignment horizontal="center"/>
    </xf>
    <xf numFmtId="0" fontId="0" fillId="6" borderId="47" xfId="0" applyFill="1" applyBorder="1" applyAlignment="1">
      <alignment wrapText="1"/>
    </xf>
    <xf numFmtId="0" fontId="0" fillId="0" borderId="48" xfId="0" applyBorder="1"/>
    <xf numFmtId="0" fontId="0" fillId="6" borderId="44" xfId="0" applyFill="1" applyBorder="1" applyAlignment="1">
      <alignment vertical="center" wrapText="1"/>
    </xf>
    <xf numFmtId="1" fontId="0" fillId="7" borderId="45" xfId="0" applyNumberFormat="1" applyFill="1" applyBorder="1" applyAlignment="1">
      <alignment horizontal="center"/>
    </xf>
    <xf numFmtId="1" fontId="0" fillId="0" borderId="0" xfId="0" applyNumberFormat="1"/>
    <xf numFmtId="9" fontId="2" fillId="0" borderId="21" xfId="0" applyNumberFormat="1" applyFont="1" applyBorder="1"/>
    <xf numFmtId="9" fontId="2" fillId="0" borderId="19" xfId="0" applyNumberFormat="1" applyFont="1" applyBorder="1"/>
    <xf numFmtId="0" fontId="3" fillId="6" borderId="0" xfId="1" applyFill="1" applyAlignment="1">
      <alignment vertical="center" wrapText="1"/>
    </xf>
    <xf numFmtId="0" fontId="3" fillId="0" borderId="17" xfId="1" applyBorder="1" applyAlignment="1">
      <alignment vertical="center" wrapText="1"/>
    </xf>
    <xf numFmtId="0" fontId="3" fillId="0" borderId="53" xfId="1" applyBorder="1" applyAlignment="1">
      <alignment vertical="center" wrapText="1"/>
    </xf>
    <xf numFmtId="2" fontId="3" fillId="0" borderId="23" xfId="1" applyNumberFormat="1" applyBorder="1" applyAlignment="1">
      <alignment vertical="center" wrapText="1"/>
    </xf>
    <xf numFmtId="2" fontId="3" fillId="6" borderId="23" xfId="1" applyNumberFormat="1" applyFill="1" applyBorder="1" applyAlignment="1">
      <alignment vertical="center" wrapText="1"/>
    </xf>
    <xf numFmtId="2" fontId="3" fillId="0" borderId="10" xfId="1" applyNumberFormat="1" applyBorder="1" applyAlignment="1">
      <alignment vertical="center" wrapText="1"/>
    </xf>
    <xf numFmtId="2" fontId="3" fillId="0" borderId="24" xfId="1" applyNumberFormat="1" applyBorder="1" applyAlignment="1">
      <alignment vertical="center" wrapText="1"/>
    </xf>
    <xf numFmtId="2" fontId="3" fillId="0" borderId="17" xfId="1" applyNumberFormat="1" applyBorder="1" applyAlignment="1">
      <alignment vertical="center" wrapText="1"/>
    </xf>
    <xf numFmtId="2" fontId="3" fillId="0" borderId="0" xfId="1" applyNumberFormat="1" applyAlignment="1">
      <alignment vertical="center" wrapText="1"/>
    </xf>
    <xf numFmtId="0" fontId="3" fillId="0" borderId="54" xfId="1" applyBorder="1" applyAlignment="1">
      <alignment vertical="center" wrapText="1"/>
    </xf>
    <xf numFmtId="0" fontId="3" fillId="6" borderId="15" xfId="1" applyFill="1" applyBorder="1" applyAlignment="1">
      <alignment vertical="center" wrapText="1"/>
    </xf>
    <xf numFmtId="0" fontId="3" fillId="0" borderId="55" xfId="1" applyBorder="1" applyAlignment="1">
      <alignment vertical="center" wrapText="1"/>
    </xf>
    <xf numFmtId="2" fontId="5" fillId="5" borderId="1" xfId="0" applyNumberFormat="1" applyFont="1" applyFill="1" applyBorder="1" applyAlignment="1">
      <alignment horizontal="right"/>
    </xf>
    <xf numFmtId="2" fontId="0" fillId="0" borderId="14" xfId="0" applyNumberForma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64" fontId="0" fillId="0" borderId="15" xfId="0" applyNumberFormat="1" applyBorder="1"/>
    <xf numFmtId="0" fontId="3" fillId="6" borderId="24" xfId="1" applyFill="1" applyBorder="1" applyAlignment="1">
      <alignment vertical="center" wrapText="1"/>
    </xf>
    <xf numFmtId="2" fontId="3" fillId="6" borderId="17" xfId="1" applyNumberFormat="1" applyFill="1" applyBorder="1" applyAlignment="1">
      <alignment vertical="center" wrapText="1"/>
    </xf>
    <xf numFmtId="2" fontId="3" fillId="0" borderId="54" xfId="1" applyNumberFormat="1" applyBorder="1" applyAlignment="1">
      <alignment vertical="center" wrapText="1"/>
    </xf>
    <xf numFmtId="2" fontId="5" fillId="5" borderId="56" xfId="0" applyNumberFormat="1" applyFont="1" applyFill="1" applyBorder="1" applyAlignment="1">
      <alignment horizontal="right"/>
    </xf>
    <xf numFmtId="2" fontId="2" fillId="4" borderId="57" xfId="0" applyNumberFormat="1" applyFont="1" applyFill="1" applyBorder="1" applyAlignment="1">
      <alignment horizontal="right"/>
    </xf>
    <xf numFmtId="2" fontId="0" fillId="3" borderId="23" xfId="0" applyNumberFormat="1" applyFill="1" applyBorder="1"/>
    <xf numFmtId="2" fontId="3" fillId="0" borderId="15" xfId="1" applyNumberFormat="1" applyBorder="1" applyAlignment="1">
      <alignment vertical="center" wrapText="1"/>
    </xf>
    <xf numFmtId="2" fontId="0" fillId="3" borderId="15" xfId="0" applyNumberFormat="1" applyFill="1" applyBorder="1"/>
    <xf numFmtId="2" fontId="3" fillId="6" borderId="15" xfId="1" applyNumberFormat="1" applyFill="1" applyBorder="1" applyAlignment="1">
      <alignment vertical="center" wrapText="1"/>
    </xf>
    <xf numFmtId="2" fontId="3" fillId="6" borderId="54" xfId="1" applyNumberFormat="1" applyFill="1" applyBorder="1" applyAlignment="1">
      <alignment vertical="center" wrapText="1"/>
    </xf>
    <xf numFmtId="1" fontId="0" fillId="0" borderId="15" xfId="0" applyNumberFormat="1" applyBorder="1"/>
    <xf numFmtId="2" fontId="3" fillId="0" borderId="55" xfId="1" applyNumberFormat="1" applyBorder="1" applyAlignment="1">
      <alignment vertical="center" wrapText="1"/>
    </xf>
    <xf numFmtId="0" fontId="0" fillId="8" borderId="36" xfId="0" applyFill="1" applyBorder="1" applyAlignment="1">
      <alignment horizontal="center"/>
    </xf>
    <xf numFmtId="0" fontId="0" fillId="8" borderId="45" xfId="0" applyFill="1" applyBorder="1" applyAlignment="1">
      <alignment horizontal="center"/>
    </xf>
    <xf numFmtId="2" fontId="3" fillId="6" borderId="24" xfId="1" applyNumberFormat="1" applyFill="1" applyBorder="1" applyAlignment="1">
      <alignment vertical="center" wrapText="1"/>
    </xf>
    <xf numFmtId="16" fontId="11" fillId="0" borderId="9" xfId="0" applyNumberFormat="1" applyFont="1" applyBorder="1" applyAlignment="1">
      <alignment horizontal="center" vertical="center" wrapText="1"/>
    </xf>
    <xf numFmtId="0" fontId="6" fillId="0" borderId="14" xfId="0" applyFont="1" applyBorder="1"/>
    <xf numFmtId="2" fontId="3" fillId="6" borderId="16" xfId="1" applyNumberFormat="1" applyFill="1" applyBorder="1" applyAlignment="1">
      <alignment vertical="center" wrapText="1"/>
    </xf>
    <xf numFmtId="2" fontId="2" fillId="2" borderId="25" xfId="0" applyNumberFormat="1" applyFont="1" applyFill="1" applyBorder="1"/>
    <xf numFmtId="0" fontId="11" fillId="0" borderId="57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2" fontId="2" fillId="11" borderId="22" xfId="0" applyNumberFormat="1" applyFont="1" applyFill="1" applyBorder="1"/>
    <xf numFmtId="2" fontId="0" fillId="6" borderId="23" xfId="0" applyNumberFormat="1" applyFill="1" applyBorder="1"/>
    <xf numFmtId="2" fontId="2" fillId="11" borderId="6" xfId="0" applyNumberFormat="1" applyFont="1" applyFill="1" applyBorder="1" applyAlignment="1">
      <alignment horizontal="right"/>
    </xf>
    <xf numFmtId="2" fontId="3" fillId="6" borderId="55" xfId="1" applyNumberFormat="1" applyFill="1" applyBorder="1" applyAlignment="1">
      <alignment vertical="center" wrapText="1"/>
    </xf>
    <xf numFmtId="2" fontId="0" fillId="6" borderId="15" xfId="0" applyNumberFormat="1" applyFill="1" applyBorder="1"/>
    <xf numFmtId="2" fontId="2" fillId="12" borderId="25" xfId="0" applyNumberFormat="1" applyFont="1" applyFill="1" applyBorder="1"/>
    <xf numFmtId="165" fontId="3" fillId="0" borderId="15" xfId="1" applyNumberFormat="1" applyBorder="1" applyAlignment="1">
      <alignment vertical="center" wrapText="1"/>
    </xf>
    <xf numFmtId="1" fontId="0" fillId="8" borderId="14" xfId="0" applyNumberFormat="1" applyFill="1" applyBorder="1" applyAlignment="1">
      <alignment horizontal="center"/>
    </xf>
    <xf numFmtId="2" fontId="0" fillId="0" borderId="60" xfId="0" applyNumberFormat="1" applyBorder="1" applyAlignment="1">
      <alignment horizontal="right"/>
    </xf>
    <xf numFmtId="0" fontId="0" fillId="6" borderId="0" xfId="0" applyFill="1" applyAlignment="1">
      <alignment horizontal="center"/>
    </xf>
    <xf numFmtId="2" fontId="0" fillId="0" borderId="63" xfId="0" applyNumberFormat="1" applyBorder="1" applyAlignment="1">
      <alignment horizontal="right"/>
    </xf>
    <xf numFmtId="0" fontId="3" fillId="6" borderId="54" xfId="1" applyFill="1" applyBorder="1" applyAlignment="1">
      <alignment vertical="center" wrapText="1"/>
    </xf>
    <xf numFmtId="0" fontId="19" fillId="8" borderId="36" xfId="0" applyFont="1" applyFill="1" applyBorder="1" applyAlignment="1">
      <alignment horizontal="center"/>
    </xf>
    <xf numFmtId="2" fontId="0" fillId="0" borderId="64" xfId="0" applyNumberFormat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6" borderId="0" xfId="0" applyFill="1"/>
    <xf numFmtId="9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0" fontId="0" fillId="0" borderId="14" xfId="0" applyBorder="1"/>
    <xf numFmtId="0" fontId="0" fillId="0" borderId="17" xfId="0" applyBorder="1"/>
    <xf numFmtId="9" fontId="0" fillId="0" borderId="14" xfId="0" applyNumberFormat="1" applyBorder="1"/>
    <xf numFmtId="0" fontId="0" fillId="0" borderId="14" xfId="0" applyBorder="1" applyAlignment="1">
      <alignment horizontal="right"/>
    </xf>
    <xf numFmtId="2" fontId="0" fillId="8" borderId="45" xfId="0" applyNumberFormat="1" applyFill="1" applyBorder="1" applyAlignment="1">
      <alignment horizontal="center"/>
    </xf>
    <xf numFmtId="0" fontId="17" fillId="0" borderId="0" xfId="0" applyFont="1"/>
    <xf numFmtId="0" fontId="23" fillId="0" borderId="7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2" fontId="2" fillId="11" borderId="18" xfId="0" applyNumberFormat="1" applyFont="1" applyFill="1" applyBorder="1"/>
    <xf numFmtId="0" fontId="2" fillId="0" borderId="66" xfId="0" applyFont="1" applyBorder="1"/>
    <xf numFmtId="9" fontId="0" fillId="6" borderId="0" xfId="0" applyNumberFormat="1" applyFill="1" applyAlignment="1">
      <alignment horizontal="center"/>
    </xf>
    <xf numFmtId="9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2" fontId="0" fillId="6" borderId="0" xfId="0" applyNumberFormat="1" applyFill="1"/>
    <xf numFmtId="0" fontId="2" fillId="0" borderId="21" xfId="0" applyFont="1" applyBorder="1"/>
    <xf numFmtId="0" fontId="0" fillId="0" borderId="0" xfId="0" applyAlignment="1">
      <alignment wrapText="1"/>
    </xf>
    <xf numFmtId="2" fontId="6" fillId="5" borderId="16" xfId="0" applyNumberFormat="1" applyFont="1" applyFill="1" applyBorder="1"/>
    <xf numFmtId="2" fontId="6" fillId="0" borderId="0" xfId="0" applyNumberFormat="1" applyFont="1"/>
    <xf numFmtId="0" fontId="0" fillId="0" borderId="68" xfId="0" applyBorder="1"/>
    <xf numFmtId="0" fontId="2" fillId="0" borderId="58" xfId="0" applyFont="1" applyBorder="1"/>
    <xf numFmtId="0" fontId="15" fillId="3" borderId="71" xfId="0" applyFont="1" applyFill="1" applyBorder="1"/>
    <xf numFmtId="2" fontId="0" fillId="5" borderId="30" xfId="0" applyNumberFormat="1" applyFill="1" applyBorder="1"/>
    <xf numFmtId="0" fontId="11" fillId="0" borderId="72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1" fontId="0" fillId="7" borderId="57" xfId="0" applyNumberFormat="1" applyFill="1" applyBorder="1" applyAlignment="1">
      <alignment horizontal="center"/>
    </xf>
    <xf numFmtId="1" fontId="0" fillId="7" borderId="72" xfId="0" applyNumberFormat="1" applyFill="1" applyBorder="1" applyAlignment="1">
      <alignment horizontal="center"/>
    </xf>
    <xf numFmtId="1" fontId="0" fillId="8" borderId="73" xfId="0" applyNumberFormat="1" applyFill="1" applyBorder="1" applyAlignment="1">
      <alignment horizontal="center"/>
    </xf>
    <xf numFmtId="1" fontId="13" fillId="8" borderId="74" xfId="0" applyNumberFormat="1" applyFont="1" applyFill="1" applyBorder="1" applyAlignment="1">
      <alignment horizontal="center"/>
    </xf>
    <xf numFmtId="1" fontId="13" fillId="8" borderId="75" xfId="0" applyNumberFormat="1" applyFont="1" applyFill="1" applyBorder="1" applyAlignment="1">
      <alignment horizontal="center"/>
    </xf>
    <xf numFmtId="0" fontId="12" fillId="0" borderId="76" xfId="0" applyFont="1" applyBorder="1" applyAlignment="1">
      <alignment horizontal="center" vertical="center" wrapText="1"/>
    </xf>
    <xf numFmtId="0" fontId="17" fillId="0" borderId="79" xfId="0" applyFont="1" applyBorder="1"/>
    <xf numFmtId="0" fontId="0" fillId="0" borderId="82" xfId="0" applyBorder="1"/>
    <xf numFmtId="0" fontId="6" fillId="0" borderId="83" xfId="0" applyFont="1" applyBorder="1"/>
    <xf numFmtId="0" fontId="2" fillId="0" borderId="84" xfId="0" applyFont="1" applyBorder="1"/>
    <xf numFmtId="0" fontId="15" fillId="3" borderId="87" xfId="0" applyFont="1" applyFill="1" applyBorder="1"/>
    <xf numFmtId="1" fontId="0" fillId="7" borderId="83" xfId="0" applyNumberFormat="1" applyFill="1" applyBorder="1" applyAlignment="1">
      <alignment horizontal="center"/>
    </xf>
    <xf numFmtId="0" fontId="15" fillId="3" borderId="88" xfId="0" applyFont="1" applyFill="1" applyBorder="1"/>
    <xf numFmtId="0" fontId="15" fillId="3" borderId="89" xfId="0" applyFont="1" applyFill="1" applyBorder="1"/>
    <xf numFmtId="0" fontId="0" fillId="0" borderId="90" xfId="0" applyBorder="1"/>
    <xf numFmtId="0" fontId="15" fillId="6" borderId="88" xfId="0" applyFont="1" applyFill="1" applyBorder="1"/>
    <xf numFmtId="0" fontId="15" fillId="3" borderId="87" xfId="0" applyFont="1" applyFill="1" applyBorder="1" applyAlignment="1">
      <alignment vertical="center" wrapText="1"/>
    </xf>
    <xf numFmtId="0" fontId="15" fillId="3" borderId="88" xfId="0" applyFont="1" applyFill="1" applyBorder="1" applyAlignment="1">
      <alignment vertical="center" wrapText="1"/>
    </xf>
    <xf numFmtId="0" fontId="2" fillId="0" borderId="88" xfId="0" applyFont="1" applyBorder="1"/>
    <xf numFmtId="0" fontId="15" fillId="0" borderId="88" xfId="0" applyFont="1" applyBorder="1" applyAlignment="1">
      <alignment wrapText="1"/>
    </xf>
    <xf numFmtId="0" fontId="15" fillId="0" borderId="88" xfId="0" applyFont="1" applyBorder="1"/>
    <xf numFmtId="0" fontId="15" fillId="0" borderId="89" xfId="0" applyFont="1" applyBorder="1"/>
    <xf numFmtId="0" fontId="0" fillId="0" borderId="88" xfId="0" applyBorder="1"/>
    <xf numFmtId="0" fontId="0" fillId="0" borderId="91" xfId="0" applyBorder="1"/>
    <xf numFmtId="0" fontId="0" fillId="0" borderId="66" xfId="0" applyBorder="1"/>
    <xf numFmtId="0" fontId="0" fillId="0" borderId="94" xfId="0" applyBorder="1"/>
    <xf numFmtId="0" fontId="17" fillId="0" borderId="66" xfId="0" applyFont="1" applyBorder="1"/>
    <xf numFmtId="0" fontId="13" fillId="8" borderId="29" xfId="0" applyFont="1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19" fillId="7" borderId="26" xfId="0" applyFont="1" applyFill="1" applyBorder="1" applyAlignment="1">
      <alignment horizontal="center"/>
    </xf>
    <xf numFmtId="0" fontId="6" fillId="0" borderId="49" xfId="0" applyFont="1" applyBorder="1"/>
    <xf numFmtId="1" fontId="19" fillId="7" borderId="26" xfId="0" applyNumberFormat="1" applyFont="1" applyFill="1" applyBorder="1" applyAlignment="1">
      <alignment horizontal="center"/>
    </xf>
    <xf numFmtId="0" fontId="27" fillId="0" borderId="15" xfId="1" applyFont="1" applyBorder="1" applyAlignment="1">
      <alignment vertical="center" wrapText="1"/>
    </xf>
    <xf numFmtId="2" fontId="27" fillId="0" borderId="15" xfId="1" applyNumberFormat="1" applyFont="1" applyBorder="1" applyAlignment="1">
      <alignment vertical="center" wrapText="1"/>
    </xf>
    <xf numFmtId="2" fontId="27" fillId="6" borderId="15" xfId="1" applyNumberFormat="1" applyFont="1" applyFill="1" applyBorder="1" applyAlignment="1">
      <alignment vertical="center" wrapText="1"/>
    </xf>
    <xf numFmtId="0" fontId="27" fillId="0" borderId="55" xfId="1" applyFont="1" applyBorder="1" applyAlignment="1">
      <alignment vertical="center" wrapText="1"/>
    </xf>
    <xf numFmtId="2" fontId="27" fillId="0" borderId="54" xfId="1" applyNumberFormat="1" applyFont="1" applyBorder="1" applyAlignment="1">
      <alignment vertical="center" wrapText="1"/>
    </xf>
    <xf numFmtId="0" fontId="27" fillId="6" borderId="15" xfId="1" applyFont="1" applyFill="1" applyBorder="1" applyAlignment="1">
      <alignment vertical="center" wrapText="1"/>
    </xf>
    <xf numFmtId="2" fontId="27" fillId="0" borderId="55" xfId="1" applyNumberFormat="1" applyFont="1" applyBorder="1" applyAlignment="1">
      <alignment vertical="center" wrapText="1"/>
    </xf>
    <xf numFmtId="0" fontId="21" fillId="0" borderId="0" xfId="0" applyFont="1"/>
    <xf numFmtId="2" fontId="27" fillId="6" borderId="54" xfId="1" applyNumberFormat="1" applyFont="1" applyFill="1" applyBorder="1" applyAlignment="1">
      <alignment vertical="center" wrapText="1"/>
    </xf>
    <xf numFmtId="164" fontId="0" fillId="0" borderId="0" xfId="0" applyNumberFormat="1"/>
    <xf numFmtId="2" fontId="3" fillId="3" borderId="54" xfId="1" applyNumberFormat="1" applyFill="1" applyBorder="1" applyAlignment="1">
      <alignment vertical="center" wrapText="1"/>
    </xf>
    <xf numFmtId="2" fontId="3" fillId="3" borderId="15" xfId="1" applyNumberFormat="1" applyFill="1" applyBorder="1" applyAlignment="1">
      <alignment vertical="center" wrapText="1"/>
    </xf>
    <xf numFmtId="2" fontId="3" fillId="3" borderId="55" xfId="1" applyNumberFormat="1" applyFill="1" applyBorder="1" applyAlignment="1">
      <alignment vertical="center" wrapText="1"/>
    </xf>
    <xf numFmtId="0" fontId="3" fillId="3" borderId="15" xfId="1" applyFill="1" applyBorder="1" applyAlignment="1">
      <alignment vertical="center" wrapText="1"/>
    </xf>
    <xf numFmtId="1" fontId="0" fillId="7" borderId="22" xfId="0" applyNumberFormat="1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13" borderId="0" xfId="0" applyFill="1"/>
    <xf numFmtId="0" fontId="30" fillId="0" borderId="0" xfId="4"/>
    <xf numFmtId="2" fontId="3" fillId="3" borderId="24" xfId="1" applyNumberFormat="1" applyFill="1" applyBorder="1" applyAlignment="1">
      <alignment vertical="center" wrapText="1"/>
    </xf>
    <xf numFmtId="2" fontId="3" fillId="3" borderId="16" xfId="1" applyNumberFormat="1" applyFill="1" applyBorder="1" applyAlignment="1">
      <alignment vertical="center" wrapText="1"/>
    </xf>
    <xf numFmtId="2" fontId="3" fillId="3" borderId="23" xfId="1" applyNumberFormat="1" applyFill="1" applyBorder="1" applyAlignment="1">
      <alignment vertical="center" wrapText="1"/>
    </xf>
    <xf numFmtId="2" fontId="3" fillId="3" borderId="17" xfId="1" applyNumberFormat="1" applyFill="1" applyBorder="1" applyAlignment="1">
      <alignment vertical="center" wrapText="1"/>
    </xf>
    <xf numFmtId="2" fontId="0" fillId="5" borderId="23" xfId="0" applyNumberFormat="1" applyFill="1" applyBorder="1"/>
    <xf numFmtId="0" fontId="15" fillId="0" borderId="0" xfId="0" applyFont="1" applyAlignment="1">
      <alignment horizontal="center"/>
    </xf>
    <xf numFmtId="0" fontId="15" fillId="0" borderId="0" xfId="0" applyFont="1"/>
    <xf numFmtId="0" fontId="32" fillId="0" borderId="14" xfId="0" applyFont="1" applyBorder="1"/>
    <xf numFmtId="0" fontId="32" fillId="3" borderId="14" xfId="0" applyFont="1" applyFill="1" applyBorder="1"/>
    <xf numFmtId="0" fontId="32" fillId="6" borderId="14" xfId="0" applyFont="1" applyFill="1" applyBorder="1"/>
    <xf numFmtId="2" fontId="32" fillId="0" borderId="14" xfId="0" applyNumberFormat="1" applyFont="1" applyBorder="1"/>
    <xf numFmtId="2" fontId="32" fillId="3" borderId="14" xfId="0" applyNumberFormat="1" applyFont="1" applyFill="1" applyBorder="1"/>
    <xf numFmtId="0" fontId="15" fillId="0" borderId="14" xfId="0" applyFont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0" fontId="15" fillId="6" borderId="14" xfId="0" applyFont="1" applyFill="1" applyBorder="1" applyAlignment="1">
      <alignment horizontal="center"/>
    </xf>
    <xf numFmtId="0" fontId="15" fillId="6" borderId="14" xfId="0" applyFont="1" applyFill="1" applyBorder="1"/>
    <xf numFmtId="0" fontId="15" fillId="3" borderId="14" xfId="0" applyFont="1" applyFill="1" applyBorder="1"/>
    <xf numFmtId="0" fontId="15" fillId="0" borderId="14" xfId="0" applyFont="1" applyBorder="1"/>
    <xf numFmtId="1" fontId="15" fillId="0" borderId="14" xfId="0" applyNumberFormat="1" applyFont="1" applyBorder="1" applyAlignment="1">
      <alignment horizontal="center"/>
    </xf>
    <xf numFmtId="1" fontId="15" fillId="3" borderId="14" xfId="0" applyNumberFormat="1" applyFont="1" applyFill="1" applyBorder="1" applyAlignment="1">
      <alignment horizontal="center"/>
    </xf>
    <xf numFmtId="1" fontId="15" fillId="6" borderId="14" xfId="0" applyNumberFormat="1" applyFont="1" applyFill="1" applyBorder="1" applyAlignment="1">
      <alignment horizontal="center"/>
    </xf>
    <xf numFmtId="1" fontId="15" fillId="3" borderId="14" xfId="0" applyNumberFormat="1" applyFont="1" applyFill="1" applyBorder="1"/>
    <xf numFmtId="2" fontId="15" fillId="6" borderId="14" xfId="0" applyNumberFormat="1" applyFont="1" applyFill="1" applyBorder="1"/>
    <xf numFmtId="1" fontId="33" fillId="6" borderId="14" xfId="0" applyNumberFormat="1" applyFont="1" applyFill="1" applyBorder="1" applyAlignment="1">
      <alignment horizontal="center"/>
    </xf>
    <xf numFmtId="1" fontId="33" fillId="3" borderId="14" xfId="0" applyNumberFormat="1" applyFont="1" applyFill="1" applyBorder="1" applyAlignment="1">
      <alignment horizontal="center"/>
    </xf>
    <xf numFmtId="0" fontId="15" fillId="3" borderId="0" xfId="0" applyFont="1" applyFill="1"/>
    <xf numFmtId="0" fontId="15" fillId="6" borderId="0" xfId="0" applyFont="1" applyFill="1"/>
    <xf numFmtId="9" fontId="15" fillId="0" borderId="14" xfId="0" applyNumberFormat="1" applyFont="1" applyBorder="1" applyAlignment="1">
      <alignment horizontal="center"/>
    </xf>
    <xf numFmtId="9" fontId="15" fillId="3" borderId="14" xfId="0" applyNumberFormat="1" applyFont="1" applyFill="1" applyBorder="1" applyAlignment="1">
      <alignment horizontal="center"/>
    </xf>
    <xf numFmtId="9" fontId="15" fillId="6" borderId="14" xfId="0" applyNumberFormat="1" applyFont="1" applyFill="1" applyBorder="1" applyAlignment="1">
      <alignment horizontal="center"/>
    </xf>
    <xf numFmtId="9" fontId="15" fillId="3" borderId="14" xfId="0" applyNumberFormat="1" applyFont="1" applyFill="1" applyBorder="1"/>
    <xf numFmtId="2" fontId="15" fillId="3" borderId="14" xfId="0" applyNumberFormat="1" applyFont="1" applyFill="1" applyBorder="1"/>
    <xf numFmtId="2" fontId="15" fillId="0" borderId="14" xfId="0" applyNumberFormat="1" applyFont="1" applyBorder="1"/>
    <xf numFmtId="2" fontId="15" fillId="3" borderId="29" xfId="0" applyNumberFormat="1" applyFont="1" applyFill="1" applyBorder="1"/>
    <xf numFmtId="9" fontId="15" fillId="3" borderId="29" xfId="0" applyNumberFormat="1" applyFont="1" applyFill="1" applyBorder="1"/>
    <xf numFmtId="0" fontId="22" fillId="3" borderId="14" xfId="0" applyFont="1" applyFill="1" applyBorder="1"/>
    <xf numFmtId="0" fontId="22" fillId="0" borderId="14" xfId="0" applyFont="1" applyBorder="1" applyAlignment="1">
      <alignment horizontal="center"/>
    </xf>
    <xf numFmtId="0" fontId="0" fillId="0" borderId="16" xfId="0" applyBorder="1"/>
    <xf numFmtId="0" fontId="0" fillId="0" borderId="0" xfId="0" applyAlignment="1">
      <alignment horizontal="center"/>
    </xf>
    <xf numFmtId="14" fontId="0" fillId="0" borderId="0" xfId="0" applyNumberFormat="1"/>
    <xf numFmtId="2" fontId="15" fillId="0" borderId="0" xfId="0" applyNumberFormat="1" applyFont="1"/>
    <xf numFmtId="0" fontId="24" fillId="0" borderId="0" xfId="0" applyFont="1"/>
    <xf numFmtId="17" fontId="11" fillId="0" borderId="9" xfId="0" applyNumberFormat="1" applyFont="1" applyBorder="1" applyAlignment="1">
      <alignment horizontal="center" vertical="center" wrapText="1"/>
    </xf>
    <xf numFmtId="2" fontId="5" fillId="3" borderId="56" xfId="0" applyNumberFormat="1" applyFont="1" applyFill="1" applyBorder="1" applyAlignment="1">
      <alignment horizontal="right"/>
    </xf>
    <xf numFmtId="2" fontId="18" fillId="5" borderId="16" xfId="0" applyNumberFormat="1" applyFont="1" applyFill="1" applyBorder="1"/>
    <xf numFmtId="2" fontId="5" fillId="4" borderId="56" xfId="0" applyNumberFormat="1" applyFont="1" applyFill="1" applyBorder="1" applyAlignment="1">
      <alignment horizontal="right"/>
    </xf>
    <xf numFmtId="0" fontId="3" fillId="13" borderId="24" xfId="1" applyFill="1" applyBorder="1" applyAlignment="1">
      <alignment vertical="center" wrapText="1"/>
    </xf>
    <xf numFmtId="9" fontId="15" fillId="0" borderId="16" xfId="0" applyNumberFormat="1" applyFont="1" applyBorder="1" applyAlignment="1">
      <alignment horizontal="center"/>
    </xf>
    <xf numFmtId="9" fontId="15" fillId="3" borderId="16" xfId="0" applyNumberFormat="1" applyFont="1" applyFill="1" applyBorder="1" applyAlignment="1">
      <alignment horizontal="center"/>
    </xf>
    <xf numFmtId="9" fontId="15" fillId="6" borderId="16" xfId="0" applyNumberFormat="1" applyFont="1" applyFill="1" applyBorder="1" applyAlignment="1">
      <alignment horizontal="center"/>
    </xf>
    <xf numFmtId="1" fontId="15" fillId="0" borderId="17" xfId="0" applyNumberFormat="1" applyFont="1" applyBorder="1"/>
    <xf numFmtId="1" fontId="15" fillId="3" borderId="17" xfId="0" applyNumberFormat="1" applyFont="1" applyFill="1" applyBorder="1"/>
    <xf numFmtId="1" fontId="15" fillId="6" borderId="17" xfId="0" applyNumberFormat="1" applyFont="1" applyFill="1" applyBorder="1"/>
    <xf numFmtId="1" fontId="15" fillId="3" borderId="77" xfId="0" applyNumberFormat="1" applyFont="1" applyFill="1" applyBorder="1"/>
    <xf numFmtId="2" fontId="15" fillId="3" borderId="17" xfId="0" applyNumberFormat="1" applyFont="1" applyFill="1" applyBorder="1"/>
    <xf numFmtId="0" fontId="0" fillId="0" borderId="0" xfId="0" applyAlignment="1">
      <alignment horizontal="left"/>
    </xf>
    <xf numFmtId="2" fontId="15" fillId="3" borderId="0" xfId="0" applyNumberFormat="1" applyFont="1" applyFill="1"/>
    <xf numFmtId="0" fontId="6" fillId="0" borderId="0" xfId="0" applyFont="1" applyAlignment="1">
      <alignment horizontal="right"/>
    </xf>
    <xf numFmtId="0" fontId="0" fillId="6" borderId="0" xfId="0" applyFill="1" applyAlignment="1">
      <alignment horizontal="center" vertical="center"/>
    </xf>
    <xf numFmtId="0" fontId="34" fillId="3" borderId="14" xfId="0" applyFont="1" applyFill="1" applyBorder="1"/>
    <xf numFmtId="1" fontId="34" fillId="3" borderId="14" xfId="0" applyNumberFormat="1" applyFont="1" applyFill="1" applyBorder="1"/>
    <xf numFmtId="0" fontId="34" fillId="3" borderId="0" xfId="0" applyFont="1" applyFill="1"/>
    <xf numFmtId="2" fontId="34" fillId="3" borderId="14" xfId="0" applyNumberFormat="1" applyFont="1" applyFill="1" applyBorder="1"/>
    <xf numFmtId="2" fontId="32" fillId="6" borderId="14" xfId="0" applyNumberFormat="1" applyFont="1" applyFill="1" applyBorder="1"/>
    <xf numFmtId="0" fontId="0" fillId="5" borderId="30" xfId="0" applyFill="1" applyBorder="1"/>
    <xf numFmtId="2" fontId="2" fillId="4" borderId="22" xfId="0" applyNumberFormat="1" applyFont="1" applyFill="1" applyBorder="1"/>
    <xf numFmtId="1" fontId="0" fillId="15" borderId="83" xfId="0" applyNumberFormat="1" applyFill="1" applyBorder="1" applyAlignment="1">
      <alignment horizontal="center"/>
    </xf>
    <xf numFmtId="0" fontId="6" fillId="0" borderId="99" xfId="0" applyFont="1" applyBorder="1"/>
    <xf numFmtId="1" fontId="0" fillId="8" borderId="83" xfId="0" applyNumberFormat="1" applyFill="1" applyBorder="1" applyAlignment="1">
      <alignment horizontal="center"/>
    </xf>
    <xf numFmtId="1" fontId="0" fillId="7" borderId="99" xfId="0" applyNumberFormat="1" applyFill="1" applyBorder="1" applyAlignment="1">
      <alignment horizontal="center"/>
    </xf>
    <xf numFmtId="2" fontId="0" fillId="8" borderId="99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6" borderId="0" xfId="0" applyNumberFormat="1" applyFill="1" applyAlignment="1">
      <alignment horizontal="center"/>
    </xf>
    <xf numFmtId="0" fontId="0" fillId="0" borderId="28" xfId="0" applyBorder="1" applyAlignment="1">
      <alignment vertical="center" wrapText="1"/>
    </xf>
    <xf numFmtId="0" fontId="0" fillId="0" borderId="28" xfId="0" applyBorder="1"/>
    <xf numFmtId="0" fontId="6" fillId="0" borderId="28" xfId="0" applyFont="1" applyBorder="1"/>
    <xf numFmtId="1" fontId="19" fillId="8" borderId="7" xfId="0" applyNumberFormat="1" applyFont="1" applyFill="1" applyBorder="1" applyAlignment="1">
      <alignment horizontal="center"/>
    </xf>
    <xf numFmtId="2" fontId="19" fillId="3" borderId="23" xfId="0" applyNumberFormat="1" applyFont="1" applyFill="1" applyBorder="1"/>
    <xf numFmtId="2" fontId="18" fillId="0" borderId="0" xfId="0" applyNumberFormat="1" applyFont="1"/>
    <xf numFmtId="0" fontId="6" fillId="0" borderId="14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14" fontId="2" fillId="6" borderId="93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2" fontId="2" fillId="3" borderId="14" xfId="0" applyNumberFormat="1" applyFont="1" applyFill="1" applyBorder="1"/>
    <xf numFmtId="9" fontId="2" fillId="0" borderId="14" xfId="0" applyNumberFormat="1" applyFont="1" applyBorder="1"/>
    <xf numFmtId="2" fontId="2" fillId="2" borderId="14" xfId="0" applyNumberFormat="1" applyFont="1" applyFill="1" applyBorder="1"/>
    <xf numFmtId="2" fontId="2" fillId="16" borderId="14" xfId="0" applyNumberFormat="1" applyFont="1" applyFill="1" applyBorder="1" applyAlignment="1">
      <alignment horizontal="right"/>
    </xf>
    <xf numFmtId="0" fontId="2" fillId="0" borderId="10" xfId="0" applyFont="1" applyBorder="1"/>
    <xf numFmtId="2" fontId="2" fillId="2" borderId="24" xfId="0" applyNumberFormat="1" applyFont="1" applyFill="1" applyBorder="1"/>
    <xf numFmtId="9" fontId="2" fillId="0" borderId="54" xfId="0" applyNumberFormat="1" applyFont="1" applyBorder="1"/>
    <xf numFmtId="2" fontId="2" fillId="2" borderId="54" xfId="0" applyNumberFormat="1" applyFont="1" applyFill="1" applyBorder="1"/>
    <xf numFmtId="2" fontId="2" fillId="2" borderId="4" xfId="0" applyNumberFormat="1" applyFont="1" applyFill="1" applyBorder="1" applyAlignment="1">
      <alignment horizontal="right"/>
    </xf>
    <xf numFmtId="0" fontId="0" fillId="5" borderId="103" xfId="0" applyFill="1" applyBorder="1" applyAlignment="1">
      <alignment horizontal="center" vertical="center" wrapText="1"/>
    </xf>
    <xf numFmtId="2" fontId="2" fillId="5" borderId="104" xfId="0" applyNumberFormat="1" applyFont="1" applyFill="1" applyBorder="1" applyAlignment="1">
      <alignment horizontal="center" vertical="center"/>
    </xf>
    <xf numFmtId="0" fontId="2" fillId="6" borderId="103" xfId="0" applyFont="1" applyFill="1" applyBorder="1" applyAlignment="1">
      <alignment horizontal="center" vertical="center"/>
    </xf>
    <xf numFmtId="0" fontId="5" fillId="6" borderId="104" xfId="0" applyFont="1" applyFill="1" applyBorder="1" applyAlignment="1">
      <alignment horizontal="center" vertical="center"/>
    </xf>
    <xf numFmtId="0" fontId="0" fillId="6" borderId="103" xfId="0" applyFill="1" applyBorder="1" applyAlignment="1">
      <alignment horizontal="center" vertical="center" wrapText="1"/>
    </xf>
    <xf numFmtId="0" fontId="22" fillId="6" borderId="104" xfId="0" applyFont="1" applyFill="1" applyBorder="1" applyAlignment="1">
      <alignment horizontal="center" vertical="center" wrapText="1"/>
    </xf>
    <xf numFmtId="0" fontId="0" fillId="6" borderId="103" xfId="0" applyFill="1" applyBorder="1" applyAlignment="1">
      <alignment horizontal="center"/>
    </xf>
    <xf numFmtId="1" fontId="0" fillId="6" borderId="104" xfId="0" applyNumberFormat="1" applyFill="1" applyBorder="1" applyAlignment="1">
      <alignment horizontal="center"/>
    </xf>
    <xf numFmtId="0" fontId="0" fillId="6" borderId="105" xfId="0" applyFill="1" applyBorder="1" applyAlignment="1">
      <alignment horizontal="center"/>
    </xf>
    <xf numFmtId="1" fontId="0" fillId="6" borderId="106" xfId="0" applyNumberFormat="1" applyFill="1" applyBorder="1" applyAlignment="1">
      <alignment horizontal="center"/>
    </xf>
    <xf numFmtId="0" fontId="13" fillId="7" borderId="109" xfId="0" applyFont="1" applyFill="1" applyBorder="1" applyAlignment="1">
      <alignment horizontal="center"/>
    </xf>
    <xf numFmtId="1" fontId="5" fillId="7" borderId="99" xfId="0" applyNumberFormat="1" applyFont="1" applyFill="1" applyBorder="1" applyAlignment="1">
      <alignment horizontal="center"/>
    </xf>
    <xf numFmtId="0" fontId="13" fillId="8" borderId="110" xfId="0" applyFont="1" applyFill="1" applyBorder="1" applyAlignment="1">
      <alignment horizontal="center"/>
    </xf>
    <xf numFmtId="1" fontId="7" fillId="8" borderId="111" xfId="0" applyNumberFormat="1" applyFont="1" applyFill="1" applyBorder="1" applyAlignment="1">
      <alignment horizontal="center"/>
    </xf>
    <xf numFmtId="0" fontId="13" fillId="8" borderId="112" xfId="0" applyFont="1" applyFill="1" applyBorder="1" applyAlignment="1">
      <alignment horizontal="center"/>
    </xf>
    <xf numFmtId="1" fontId="7" fillId="8" borderId="101" xfId="0" applyNumberFormat="1" applyFont="1" applyFill="1" applyBorder="1" applyAlignment="1">
      <alignment horizontal="center"/>
    </xf>
    <xf numFmtId="0" fontId="0" fillId="0" borderId="105" xfId="0" applyBorder="1" applyAlignment="1">
      <alignment horizontal="center"/>
    </xf>
    <xf numFmtId="2" fontId="0" fillId="0" borderId="106" xfId="0" applyNumberFormat="1" applyBorder="1" applyAlignment="1">
      <alignment horizontal="center"/>
    </xf>
    <xf numFmtId="0" fontId="0" fillId="7" borderId="114" xfId="0" applyFill="1" applyBorder="1" applyAlignment="1">
      <alignment horizontal="center"/>
    </xf>
    <xf numFmtId="1" fontId="5" fillId="7" borderId="115" xfId="0" applyNumberFormat="1" applyFont="1" applyFill="1" applyBorder="1" applyAlignment="1">
      <alignment horizontal="center"/>
    </xf>
    <xf numFmtId="0" fontId="0" fillId="8" borderId="116" xfId="0" applyFill="1" applyBorder="1" applyAlignment="1">
      <alignment horizontal="center"/>
    </xf>
    <xf numFmtId="1" fontId="7" fillId="8" borderId="117" xfId="0" applyNumberFormat="1" applyFont="1" applyFill="1" applyBorder="1" applyAlignment="1">
      <alignment horizontal="center"/>
    </xf>
    <xf numFmtId="0" fontId="5" fillId="0" borderId="107" xfId="0" applyFont="1" applyBorder="1" applyAlignment="1">
      <alignment horizontal="center"/>
    </xf>
    <xf numFmtId="0" fontId="5" fillId="0" borderId="108" xfId="0" applyFont="1" applyBorder="1" applyAlignment="1">
      <alignment horizontal="center"/>
    </xf>
    <xf numFmtId="0" fontId="6" fillId="6" borderId="98" xfId="0" applyFont="1" applyFill="1" applyBorder="1" applyAlignment="1">
      <alignment horizontal="center"/>
    </xf>
    <xf numFmtId="0" fontId="6" fillId="6" borderId="113" xfId="0" applyFont="1" applyFill="1" applyBorder="1" applyAlignment="1">
      <alignment horizontal="center"/>
    </xf>
    <xf numFmtId="0" fontId="13" fillId="14" borderId="88" xfId="0" applyFont="1" applyFill="1" applyBorder="1" applyAlignment="1">
      <alignment horizontal="center"/>
    </xf>
    <xf numFmtId="1" fontId="7" fillId="14" borderId="90" xfId="0" applyNumberFormat="1" applyFont="1" applyFill="1" applyBorder="1" applyAlignment="1">
      <alignment horizontal="center"/>
    </xf>
    <xf numFmtId="0" fontId="0" fillId="15" borderId="105" xfId="0" applyFill="1" applyBorder="1" applyAlignment="1">
      <alignment horizontal="center"/>
    </xf>
    <xf numFmtId="2" fontId="6" fillId="15" borderId="106" xfId="0" applyNumberFormat="1" applyFont="1" applyFill="1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23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1" fontId="2" fillId="0" borderId="14" xfId="0" applyNumberFormat="1" applyFont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0" fillId="0" borderId="86" xfId="0" applyBorder="1"/>
    <xf numFmtId="2" fontId="1" fillId="0" borderId="83" xfId="0" applyNumberFormat="1" applyFont="1" applyBorder="1"/>
    <xf numFmtId="2" fontId="1" fillId="0" borderId="90" xfId="0" applyNumberFormat="1" applyFont="1" applyBorder="1"/>
    <xf numFmtId="2" fontId="0" fillId="0" borderId="90" xfId="0" applyNumberFormat="1" applyBorder="1"/>
    <xf numFmtId="2" fontId="0" fillId="0" borderId="85" xfId="0" applyNumberFormat="1" applyBorder="1"/>
    <xf numFmtId="2" fontId="0" fillId="0" borderId="86" xfId="0" applyNumberFormat="1" applyBorder="1"/>
    <xf numFmtId="0" fontId="2" fillId="0" borderId="87" xfId="0" applyFont="1" applyBorder="1"/>
    <xf numFmtId="9" fontId="2" fillId="0" borderId="85" xfId="0" applyNumberFormat="1" applyFont="1" applyBorder="1"/>
    <xf numFmtId="0" fontId="2" fillId="0" borderId="103" xfId="0" applyFont="1" applyBorder="1"/>
    <xf numFmtId="9" fontId="2" fillId="0" borderId="104" xfId="0" applyNumberFormat="1" applyFont="1" applyBorder="1"/>
    <xf numFmtId="0" fontId="2" fillId="0" borderId="119" xfId="0" applyFont="1" applyBorder="1" applyAlignment="1">
      <alignment horizontal="center"/>
    </xf>
    <xf numFmtId="0" fontId="6" fillId="0" borderId="88" xfId="0" applyFont="1" applyBorder="1" applyAlignment="1">
      <alignment horizontal="center"/>
    </xf>
    <xf numFmtId="1" fontId="0" fillId="7" borderId="122" xfId="0" applyNumberFormat="1" applyFill="1" applyBorder="1" applyAlignment="1">
      <alignment horizontal="center"/>
    </xf>
    <xf numFmtId="0" fontId="0" fillId="8" borderId="99" xfId="0" applyFill="1" applyBorder="1" applyAlignment="1">
      <alignment horizontal="center"/>
    </xf>
    <xf numFmtId="0" fontId="0" fillId="17" borderId="103" xfId="0" applyFill="1" applyBorder="1" applyAlignment="1">
      <alignment horizontal="center" vertical="center" wrapText="1"/>
    </xf>
    <xf numFmtId="2" fontId="5" fillId="17" borderId="104" xfId="0" applyNumberFormat="1" applyFont="1" applyFill="1" applyBorder="1" applyAlignment="1">
      <alignment horizontal="center" vertical="center"/>
    </xf>
    <xf numFmtId="0" fontId="14" fillId="8" borderId="122" xfId="0" applyFont="1" applyFill="1" applyBorder="1" applyAlignment="1">
      <alignment horizontal="center"/>
    </xf>
    <xf numFmtId="1" fontId="14" fillId="8" borderId="117" xfId="0" applyNumberFormat="1" applyFont="1" applyFill="1" applyBorder="1" applyAlignment="1">
      <alignment horizontal="center"/>
    </xf>
    <xf numFmtId="1" fontId="14" fillId="8" borderId="111" xfId="0" applyNumberFormat="1" applyFont="1" applyFill="1" applyBorder="1" applyAlignment="1">
      <alignment horizontal="center"/>
    </xf>
    <xf numFmtId="2" fontId="2" fillId="2" borderId="14" xfId="0" applyNumberFormat="1" applyFont="1" applyFill="1" applyBorder="1" applyAlignment="1">
      <alignment horizontal="right"/>
    </xf>
    <xf numFmtId="9" fontId="2" fillId="0" borderId="10" xfId="0" applyNumberFormat="1" applyFont="1" applyBorder="1"/>
    <xf numFmtId="2" fontId="2" fillId="16" borderId="17" xfId="0" applyNumberFormat="1" applyFont="1" applyFill="1" applyBorder="1" applyAlignment="1">
      <alignment horizontal="right"/>
    </xf>
    <xf numFmtId="0" fontId="2" fillId="6" borderId="30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2" fontId="14" fillId="15" borderId="106" xfId="0" applyNumberFormat="1" applyFont="1" applyFill="1" applyBorder="1" applyAlignment="1">
      <alignment horizontal="center"/>
    </xf>
    <xf numFmtId="9" fontId="1" fillId="0" borderId="23" xfId="0" applyNumberFormat="1" applyFont="1" applyBorder="1" applyAlignment="1">
      <alignment horizontal="center" vertical="center"/>
    </xf>
    <xf numFmtId="9" fontId="1" fillId="0" borderId="17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9" fontId="1" fillId="0" borderId="13" xfId="0" applyNumberFormat="1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/>
    </xf>
    <xf numFmtId="9" fontId="1" fillId="0" borderId="55" xfId="0" applyNumberFormat="1" applyFont="1" applyBorder="1" applyAlignment="1">
      <alignment horizontal="center" vertical="center"/>
    </xf>
    <xf numFmtId="0" fontId="16" fillId="0" borderId="69" xfId="1" applyFont="1" applyBorder="1" applyAlignment="1">
      <alignment vertical="center" wrapText="1"/>
    </xf>
    <xf numFmtId="0" fontId="16" fillId="0" borderId="70" xfId="1" applyFont="1" applyBorder="1" applyAlignment="1">
      <alignment vertical="center" wrapText="1"/>
    </xf>
    <xf numFmtId="0" fontId="16" fillId="6" borderId="70" xfId="1" applyFont="1" applyFill="1" applyBorder="1" applyAlignment="1">
      <alignment vertical="center" wrapText="1"/>
    </xf>
    <xf numFmtId="0" fontId="2" fillId="0" borderId="69" xfId="0" applyFont="1" applyBorder="1"/>
    <xf numFmtId="1" fontId="0" fillId="0" borderId="106" xfId="0" applyNumberFormat="1" applyBorder="1" applyAlignment="1">
      <alignment horizontal="center"/>
    </xf>
    <xf numFmtId="0" fontId="2" fillId="0" borderId="119" xfId="0" applyFont="1" applyBorder="1"/>
    <xf numFmtId="14" fontId="2" fillId="6" borderId="124" xfId="0" applyNumberFormat="1" applyFont="1" applyFill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2" fontId="1" fillId="0" borderId="8" xfId="0" applyNumberFormat="1" applyFont="1" applyBorder="1"/>
    <xf numFmtId="2" fontId="1" fillId="0" borderId="0" xfId="0" applyNumberFormat="1" applyFont="1"/>
    <xf numFmtId="2" fontId="0" fillId="0" borderId="10" xfId="0" applyNumberFormat="1" applyBorder="1"/>
    <xf numFmtId="2" fontId="0" fillId="0" borderId="13" xfId="0" applyNumberFormat="1" applyBorder="1"/>
    <xf numFmtId="9" fontId="2" fillId="0" borderId="29" xfId="0" applyNumberFormat="1" applyFont="1" applyBorder="1"/>
    <xf numFmtId="1" fontId="0" fillId="0" borderId="13" xfId="0" applyNumberFormat="1" applyBorder="1"/>
    <xf numFmtId="9" fontId="6" fillId="0" borderId="14" xfId="0" applyNumberFormat="1" applyFont="1" applyBorder="1" applyAlignment="1">
      <alignment horizontal="center" wrapText="1"/>
    </xf>
    <xf numFmtId="1" fontId="2" fillId="0" borderId="29" xfId="0" applyNumberFormat="1" applyFont="1" applyBorder="1" applyAlignment="1">
      <alignment horizontal="center" vertical="center" wrapText="1"/>
    </xf>
    <xf numFmtId="2" fontId="0" fillId="16" borderId="14" xfId="0" applyNumberFormat="1" applyFill="1" applyBorder="1"/>
    <xf numFmtId="1" fontId="14" fillId="8" borderId="101" xfId="0" applyNumberFormat="1" applyFont="1" applyFill="1" applyBorder="1" applyAlignment="1">
      <alignment horizontal="center"/>
    </xf>
    <xf numFmtId="1" fontId="18" fillId="8" borderId="122" xfId="0" applyNumberFormat="1" applyFont="1" applyFill="1" applyBorder="1" applyAlignment="1">
      <alignment horizontal="center"/>
    </xf>
    <xf numFmtId="1" fontId="0" fillId="8" borderId="99" xfId="0" applyNumberFormat="1" applyFill="1" applyBorder="1" applyAlignment="1">
      <alignment horizontal="center"/>
    </xf>
    <xf numFmtId="164" fontId="0" fillId="0" borderId="86" xfId="0" applyNumberFormat="1" applyBorder="1"/>
    <xf numFmtId="9" fontId="0" fillId="0" borderId="104" xfId="0" applyNumberFormat="1" applyBorder="1"/>
    <xf numFmtId="14" fontId="2" fillId="6" borderId="0" xfId="0" applyNumberFormat="1" applyFont="1" applyFill="1" applyAlignment="1">
      <alignment horizontal="center" vertical="center"/>
    </xf>
    <xf numFmtId="1" fontId="7" fillId="14" borderId="125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2" fillId="0" borderId="54" xfId="0" applyFont="1" applyBorder="1"/>
    <xf numFmtId="0" fontId="0" fillId="8" borderId="83" xfId="0" applyFill="1" applyBorder="1" applyAlignment="1">
      <alignment horizontal="center"/>
    </xf>
    <xf numFmtId="1" fontId="2" fillId="0" borderId="62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 wrapText="1"/>
    </xf>
    <xf numFmtId="9" fontId="0" fillId="3" borderId="104" xfId="0" applyNumberFormat="1" applyFill="1" applyBorder="1"/>
    <xf numFmtId="2" fontId="5" fillId="6" borderId="24" xfId="0" applyNumberFormat="1" applyFont="1" applyFill="1" applyBorder="1"/>
    <xf numFmtId="9" fontId="1" fillId="0" borderId="70" xfId="0" applyNumberFormat="1" applyFont="1" applyBorder="1" applyAlignment="1">
      <alignment horizontal="center" vertical="center"/>
    </xf>
    <xf numFmtId="9" fontId="1" fillId="0" borderId="71" xfId="0" applyNumberFormat="1" applyFont="1" applyBorder="1" applyAlignment="1">
      <alignment horizontal="center" vertical="center"/>
    </xf>
    <xf numFmtId="0" fontId="0" fillId="0" borderId="13" xfId="0" applyBorder="1"/>
    <xf numFmtId="9" fontId="0" fillId="0" borderId="29" xfId="0" applyNumberFormat="1" applyBorder="1"/>
    <xf numFmtId="0" fontId="4" fillId="0" borderId="88" xfId="0" applyFont="1" applyBorder="1"/>
    <xf numFmtId="164" fontId="0" fillId="8" borderId="99" xfId="0" applyNumberFormat="1" applyFill="1" applyBorder="1" applyAlignment="1">
      <alignment horizontal="center"/>
    </xf>
    <xf numFmtId="1" fontId="38" fillId="3" borderId="104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6" fillId="0" borderId="100" xfId="0" applyFont="1" applyBorder="1"/>
    <xf numFmtId="1" fontId="19" fillId="7" borderId="104" xfId="0" applyNumberFormat="1" applyFont="1" applyFill="1" applyBorder="1" applyAlignment="1">
      <alignment horizontal="center"/>
    </xf>
    <xf numFmtId="0" fontId="0" fillId="8" borderId="104" xfId="0" applyFill="1" applyBorder="1" applyAlignment="1">
      <alignment horizontal="center"/>
    </xf>
    <xf numFmtId="2" fontId="5" fillId="0" borderId="24" xfId="0" applyNumberFormat="1" applyFont="1" applyBorder="1"/>
    <xf numFmtId="1" fontId="6" fillId="8" borderId="111" xfId="0" applyNumberFormat="1" applyFont="1" applyFill="1" applyBorder="1" applyAlignment="1">
      <alignment horizontal="center"/>
    </xf>
    <xf numFmtId="2" fontId="20" fillId="0" borderId="24" xfId="0" applyNumberFormat="1" applyFont="1" applyBorder="1"/>
    <xf numFmtId="1" fontId="1" fillId="0" borderId="23" xfId="0" applyNumberFormat="1" applyFont="1" applyBorder="1" applyAlignment="1">
      <alignment horizontal="center" vertical="center"/>
    </xf>
    <xf numFmtId="2" fontId="3" fillId="0" borderId="68" xfId="1" applyNumberFormat="1" applyBorder="1" applyAlignment="1">
      <alignment vertical="center" wrapText="1"/>
    </xf>
    <xf numFmtId="1" fontId="0" fillId="3" borderId="104" xfId="0" applyNumberFormat="1" applyFill="1" applyBorder="1" applyAlignment="1">
      <alignment horizontal="center"/>
    </xf>
    <xf numFmtId="1" fontId="34" fillId="3" borderId="17" xfId="0" applyNumberFormat="1" applyFont="1" applyFill="1" applyBorder="1"/>
    <xf numFmtId="9" fontId="34" fillId="3" borderId="14" xfId="0" applyNumberFormat="1" applyFont="1" applyFill="1" applyBorder="1"/>
    <xf numFmtId="1" fontId="13" fillId="15" borderId="14" xfId="0" applyNumberFormat="1" applyFont="1" applyFill="1" applyBorder="1" applyAlignment="1">
      <alignment horizontal="center"/>
    </xf>
    <xf numFmtId="1" fontId="19" fillId="8" borderId="83" xfId="0" applyNumberFormat="1" applyFont="1" applyFill="1" applyBorder="1" applyAlignment="1">
      <alignment horizontal="center"/>
    </xf>
    <xf numFmtId="2" fontId="7" fillId="15" borderId="106" xfId="0" applyNumberFormat="1" applyFont="1" applyFill="1" applyBorder="1" applyAlignment="1">
      <alignment horizontal="center"/>
    </xf>
    <xf numFmtId="1" fontId="19" fillId="15" borderId="83" xfId="0" applyNumberFormat="1" applyFont="1" applyFill="1" applyBorder="1" applyAlignment="1">
      <alignment horizontal="center"/>
    </xf>
    <xf numFmtId="2" fontId="2" fillId="4" borderId="59" xfId="0" applyNumberFormat="1" applyFont="1" applyFill="1" applyBorder="1" applyAlignment="1">
      <alignment horizontal="right"/>
    </xf>
    <xf numFmtId="2" fontId="0" fillId="0" borderId="94" xfId="0" applyNumberFormat="1" applyBorder="1"/>
    <xf numFmtId="2" fontId="19" fillId="16" borderId="14" xfId="0" applyNumberFormat="1" applyFont="1" applyFill="1" applyBorder="1"/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19" fillId="0" borderId="106" xfId="0" applyNumberFormat="1" applyFont="1" applyBorder="1" applyAlignment="1">
      <alignment horizontal="center"/>
    </xf>
    <xf numFmtId="0" fontId="6" fillId="0" borderId="5" xfId="0" applyFont="1" applyBorder="1"/>
    <xf numFmtId="2" fontId="5" fillId="6" borderId="14" xfId="0" applyNumberFormat="1" applyFont="1" applyFill="1" applyBorder="1"/>
    <xf numFmtId="0" fontId="2" fillId="0" borderId="29" xfId="0" applyFont="1" applyBorder="1" applyAlignment="1">
      <alignment horizontal="center"/>
    </xf>
    <xf numFmtId="0" fontId="15" fillId="0" borderId="70" xfId="0" applyFont="1" applyBorder="1" applyAlignment="1">
      <alignment wrapText="1"/>
    </xf>
    <xf numFmtId="0" fontId="15" fillId="0" borderId="70" xfId="0" applyFont="1" applyBorder="1"/>
    <xf numFmtId="0" fontId="15" fillId="0" borderId="77" xfId="0" applyFont="1" applyBorder="1"/>
    <xf numFmtId="9" fontId="1" fillId="0" borderId="77" xfId="0" applyNumberFormat="1" applyFont="1" applyBorder="1" applyAlignment="1">
      <alignment horizontal="center" vertical="center"/>
    </xf>
    <xf numFmtId="2" fontId="0" fillId="3" borderId="0" xfId="0" applyNumberFormat="1" applyFill="1"/>
    <xf numFmtId="0" fontId="23" fillId="0" borderId="57" xfId="0" applyFont="1" applyBorder="1" applyAlignment="1">
      <alignment horizontal="center" vertical="center" wrapText="1"/>
    </xf>
    <xf numFmtId="16" fontId="23" fillId="0" borderId="9" xfId="0" applyNumberFormat="1" applyFont="1" applyBorder="1" applyAlignment="1">
      <alignment horizontal="center" vertical="center" wrapText="1"/>
    </xf>
    <xf numFmtId="164" fontId="0" fillId="3" borderId="0" xfId="0" applyNumberFormat="1" applyFill="1"/>
    <xf numFmtId="0" fontId="15" fillId="0" borderId="123" xfId="0" applyFont="1" applyBorder="1"/>
    <xf numFmtId="0" fontId="0" fillId="0" borderId="105" xfId="0" applyBorder="1" applyAlignment="1">
      <alignment horizontal="center" wrapText="1"/>
    </xf>
    <xf numFmtId="0" fontId="8" fillId="0" borderId="0" xfId="0" applyFont="1"/>
    <xf numFmtId="0" fontId="8" fillId="0" borderId="90" xfId="0" applyFont="1" applyBorder="1"/>
    <xf numFmtId="0" fontId="0" fillId="8" borderId="122" xfId="0" applyFill="1" applyBorder="1" applyAlignment="1">
      <alignment horizontal="center"/>
    </xf>
    <xf numFmtId="2" fontId="18" fillId="16" borderId="14" xfId="0" applyNumberFormat="1" applyFont="1" applyFill="1" applyBorder="1"/>
    <xf numFmtId="0" fontId="13" fillId="7" borderId="129" xfId="0" applyFont="1" applyFill="1" applyBorder="1" applyAlignment="1">
      <alignment horizontal="center"/>
    </xf>
    <xf numFmtId="1" fontId="5" fillId="7" borderId="130" xfId="0" applyNumberFormat="1" applyFont="1" applyFill="1" applyBorder="1" applyAlignment="1">
      <alignment horizontal="center"/>
    </xf>
    <xf numFmtId="2" fontId="3" fillId="13" borderId="15" xfId="1" applyNumberFormat="1" applyFill="1" applyBorder="1" applyAlignment="1">
      <alignment vertical="center" wrapText="1"/>
    </xf>
    <xf numFmtId="9" fontId="2" fillId="0" borderId="38" xfId="0" applyNumberFormat="1" applyFont="1" applyBorder="1"/>
    <xf numFmtId="2" fontId="2" fillId="3" borderId="0" xfId="0" applyNumberFormat="1" applyFont="1" applyFill="1"/>
    <xf numFmtId="9" fontId="2" fillId="3" borderId="0" xfId="0" applyNumberFormat="1" applyFont="1" applyFill="1"/>
    <xf numFmtId="2" fontId="2" fillId="18" borderId="0" xfId="0" applyNumberFormat="1" applyFont="1" applyFill="1" applyAlignment="1">
      <alignment horizontal="right"/>
    </xf>
    <xf numFmtId="2" fontId="5" fillId="5" borderId="104" xfId="0" applyNumberFormat="1" applyFont="1" applyFill="1" applyBorder="1" applyAlignment="1">
      <alignment horizontal="center" vertical="center"/>
    </xf>
    <xf numFmtId="0" fontId="22" fillId="0" borderId="131" xfId="0" applyFont="1" applyBorder="1" applyAlignment="1">
      <alignment horizontal="center" vertical="center" wrapText="1"/>
    </xf>
    <xf numFmtId="2" fontId="0" fillId="0" borderId="132" xfId="0" applyNumberFormat="1" applyBorder="1" applyAlignment="1">
      <alignment horizontal="center" vertical="center"/>
    </xf>
    <xf numFmtId="0" fontId="0" fillId="0" borderId="105" xfId="0" applyBorder="1" applyAlignment="1">
      <alignment horizontal="center" vertical="center" wrapText="1"/>
    </xf>
    <xf numFmtId="2" fontId="0" fillId="0" borderId="106" xfId="0" applyNumberFormat="1" applyBorder="1" applyAlignment="1">
      <alignment horizontal="center" vertical="center"/>
    </xf>
    <xf numFmtId="2" fontId="20" fillId="17" borderId="104" xfId="0" applyNumberFormat="1" applyFont="1" applyFill="1" applyBorder="1" applyAlignment="1">
      <alignment horizontal="center" vertical="center"/>
    </xf>
    <xf numFmtId="0" fontId="5" fillId="0" borderId="89" xfId="0" applyFont="1" applyBorder="1" applyAlignment="1">
      <alignment horizontal="center"/>
    </xf>
    <xf numFmtId="0" fontId="5" fillId="0" borderId="86" xfId="0" applyFont="1" applyBorder="1" applyAlignment="1">
      <alignment horizontal="center"/>
    </xf>
    <xf numFmtId="9" fontId="2" fillId="0" borderId="0" xfId="0" applyNumberFormat="1" applyFont="1"/>
    <xf numFmtId="0" fontId="0" fillId="3" borderId="105" xfId="0" applyFill="1" applyBorder="1" applyAlignment="1">
      <alignment horizontal="center"/>
    </xf>
    <xf numFmtId="2" fontId="14" fillId="3" borderId="106" xfId="0" applyNumberFormat="1" applyFont="1" applyFill="1" applyBorder="1" applyAlignment="1">
      <alignment horizontal="center"/>
    </xf>
    <xf numFmtId="9" fontId="2" fillId="0" borderId="83" xfId="0" applyNumberFormat="1" applyFont="1" applyBorder="1"/>
    <xf numFmtId="9" fontId="2" fillId="0" borderId="90" xfId="0" applyNumberFormat="1" applyFont="1" applyBorder="1"/>
    <xf numFmtId="2" fontId="2" fillId="3" borderId="25" xfId="0" applyNumberFormat="1" applyFont="1" applyFill="1" applyBorder="1"/>
    <xf numFmtId="9" fontId="2" fillId="3" borderId="19" xfId="0" applyNumberFormat="1" applyFont="1" applyFill="1" applyBorder="1"/>
    <xf numFmtId="2" fontId="2" fillId="3" borderId="19" xfId="0" applyNumberFormat="1" applyFont="1" applyFill="1" applyBorder="1"/>
    <xf numFmtId="49" fontId="0" fillId="0" borderId="0" xfId="0" applyNumberFormat="1"/>
    <xf numFmtId="0" fontId="6" fillId="0" borderId="14" xfId="0" applyFont="1" applyBorder="1" applyAlignment="1">
      <alignment horizontal="right"/>
    </xf>
    <xf numFmtId="0" fontId="4" fillId="0" borderId="127" xfId="0" applyFont="1" applyBorder="1"/>
    <xf numFmtId="0" fontId="2" fillId="0" borderId="87" xfId="0" applyFont="1" applyBorder="1" applyAlignment="1">
      <alignment horizontal="center"/>
    </xf>
    <xf numFmtId="10" fontId="0" fillId="0" borderId="0" xfId="0" applyNumberFormat="1"/>
    <xf numFmtId="0" fontId="16" fillId="3" borderId="0" xfId="1" applyFont="1" applyFill="1" applyAlignment="1">
      <alignment vertical="center" wrapText="1"/>
    </xf>
    <xf numFmtId="0" fontId="3" fillId="3" borderId="0" xfId="1" applyFill="1" applyAlignment="1">
      <alignment vertical="center" wrapText="1"/>
    </xf>
    <xf numFmtId="2" fontId="0" fillId="3" borderId="23" xfId="0" applyNumberFormat="1" applyFill="1" applyBorder="1" applyAlignment="1">
      <alignment horizontal="right"/>
    </xf>
    <xf numFmtId="0" fontId="18" fillId="3" borderId="23" xfId="0" applyFont="1" applyFill="1" applyBorder="1"/>
    <xf numFmtId="0" fontId="23" fillId="0" borderId="7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" fontId="0" fillId="7" borderId="62" xfId="0" applyNumberFormat="1" applyFill="1" applyBorder="1" applyAlignment="1">
      <alignment horizontal="center"/>
    </xf>
    <xf numFmtId="1" fontId="13" fillId="8" borderId="62" xfId="0" applyNumberFormat="1" applyFont="1" applyFill="1" applyBorder="1" applyAlignment="1">
      <alignment horizontal="center"/>
    </xf>
    <xf numFmtId="2" fontId="0" fillId="13" borderId="15" xfId="0" applyNumberFormat="1" applyFill="1" applyBorder="1"/>
    <xf numFmtId="2" fontId="27" fillId="3" borderId="15" xfId="1" applyNumberFormat="1" applyFont="1" applyFill="1" applyBorder="1" applyAlignment="1">
      <alignment vertical="center" wrapText="1"/>
    </xf>
    <xf numFmtId="0" fontId="27" fillId="3" borderId="15" xfId="1" applyFont="1" applyFill="1" applyBorder="1" applyAlignment="1">
      <alignment vertical="center" wrapText="1"/>
    </xf>
    <xf numFmtId="2" fontId="0" fillId="3" borderId="3" xfId="0" applyNumberFormat="1" applyFill="1" applyBorder="1" applyAlignment="1">
      <alignment horizontal="right"/>
    </xf>
    <xf numFmtId="17" fontId="0" fillId="13" borderId="0" xfId="0" applyNumberFormat="1" applyFill="1"/>
    <xf numFmtId="2" fontId="0" fillId="13" borderId="0" xfId="0" applyNumberFormat="1" applyFill="1"/>
    <xf numFmtId="2" fontId="39" fillId="3" borderId="23" xfId="1" applyNumberFormat="1" applyFont="1" applyFill="1" applyBorder="1" applyAlignment="1">
      <alignment vertical="center" wrapText="1"/>
    </xf>
    <xf numFmtId="0" fontId="40" fillId="0" borderId="0" xfId="0" applyFont="1"/>
    <xf numFmtId="0" fontId="3" fillId="13" borderId="54" xfId="1" applyFill="1" applyBorder="1" applyAlignment="1">
      <alignment vertical="center" wrapText="1"/>
    </xf>
    <xf numFmtId="0" fontId="6" fillId="0" borderId="9" xfId="0" applyFont="1" applyBorder="1" applyAlignment="1">
      <alignment horizontal="center"/>
    </xf>
    <xf numFmtId="0" fontId="12" fillId="0" borderId="86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/>
    </xf>
    <xf numFmtId="0" fontId="8" fillId="0" borderId="102" xfId="0" applyFont="1" applyBorder="1" applyAlignment="1">
      <alignment horizontal="center"/>
    </xf>
    <xf numFmtId="2" fontId="3" fillId="13" borderId="54" xfId="1" applyNumberForma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6" fillId="0" borderId="9" xfId="0" applyFont="1" applyBorder="1" applyAlignment="1">
      <alignment horizontal="left"/>
    </xf>
    <xf numFmtId="0" fontId="12" fillId="0" borderId="135" xfId="0" applyFont="1" applyBorder="1" applyAlignment="1">
      <alignment horizontal="center" vertical="center" wrapText="1"/>
    </xf>
    <xf numFmtId="0" fontId="0" fillId="0" borderId="136" xfId="0" applyBorder="1"/>
    <xf numFmtId="0" fontId="3" fillId="3" borderId="23" xfId="1" applyFill="1" applyBorder="1" applyAlignment="1">
      <alignment vertical="center" wrapText="1"/>
    </xf>
    <xf numFmtId="0" fontId="18" fillId="0" borderId="0" xfId="0" applyFont="1"/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38" xfId="0" applyFont="1" applyBorder="1" applyAlignment="1">
      <alignment horizontal="center"/>
    </xf>
    <xf numFmtId="0" fontId="31" fillId="0" borderId="66" xfId="0" applyFont="1" applyBorder="1" applyAlignment="1">
      <alignment horizontal="center"/>
    </xf>
    <xf numFmtId="0" fontId="12" fillId="0" borderId="85" xfId="0" applyFont="1" applyBorder="1" applyAlignment="1">
      <alignment horizontal="center" vertical="center" wrapText="1"/>
    </xf>
    <xf numFmtId="0" fontId="8" fillId="0" borderId="127" xfId="0" applyFont="1" applyBorder="1"/>
    <xf numFmtId="0" fontId="0" fillId="0" borderId="79" xfId="0" applyBorder="1"/>
    <xf numFmtId="0" fontId="0" fillId="0" borderId="127" xfId="0" applyBorder="1"/>
    <xf numFmtId="0" fontId="0" fillId="0" borderId="127" xfId="0" applyBorder="1" applyAlignment="1">
      <alignment horizontal="center" vertical="center"/>
    </xf>
    <xf numFmtId="0" fontId="6" fillId="0" borderId="138" xfId="0" applyFont="1" applyBorder="1" applyAlignment="1">
      <alignment horizontal="center" wrapText="1"/>
    </xf>
    <xf numFmtId="0" fontId="6" fillId="0" borderId="141" xfId="0" applyFont="1" applyBorder="1" applyAlignment="1">
      <alignment horizontal="center" wrapText="1"/>
    </xf>
    <xf numFmtId="0" fontId="6" fillId="0" borderId="142" xfId="0" applyFont="1" applyBorder="1"/>
    <xf numFmtId="0" fontId="8" fillId="0" borderId="143" xfId="0" applyFont="1" applyBorder="1" applyAlignment="1">
      <alignment horizontal="center"/>
    </xf>
    <xf numFmtId="0" fontId="0" fillId="0" borderId="53" xfId="0" applyBorder="1"/>
    <xf numFmtId="14" fontId="0" fillId="0" borderId="53" xfId="0" applyNumberFormat="1" applyBorder="1"/>
    <xf numFmtId="0" fontId="40" fillId="0" borderId="53" xfId="0" applyFont="1" applyBorder="1"/>
    <xf numFmtId="2" fontId="0" fillId="0" borderId="53" xfId="0" applyNumberFormat="1" applyBorder="1"/>
    <xf numFmtId="16" fontId="0" fillId="13" borderId="0" xfId="0" applyNumberFormat="1" applyFill="1"/>
    <xf numFmtId="164" fontId="3" fillId="6" borderId="24" xfId="1" applyNumberFormat="1" applyFill="1" applyBorder="1" applyAlignment="1">
      <alignment vertical="center" wrapText="1"/>
    </xf>
    <xf numFmtId="0" fontId="3" fillId="3" borderId="24" xfId="1" applyFill="1" applyBorder="1" applyAlignment="1">
      <alignment vertical="center" wrapText="1"/>
    </xf>
    <xf numFmtId="14" fontId="0" fillId="0" borderId="0" xfId="0" applyNumberFormat="1" applyAlignment="1">
      <alignment horizontal="right"/>
    </xf>
    <xf numFmtId="9" fontId="15" fillId="3" borderId="26" xfId="0" applyNumberFormat="1" applyFont="1" applyFill="1" applyBorder="1" applyAlignment="1">
      <alignment horizontal="center"/>
    </xf>
    <xf numFmtId="0" fontId="39" fillId="6" borderId="23" xfId="1" applyFont="1" applyFill="1" applyBorder="1" applyAlignment="1">
      <alignment vertical="center" wrapText="1"/>
    </xf>
    <xf numFmtId="2" fontId="41" fillId="0" borderId="0" xfId="0" applyNumberFormat="1" applyFont="1"/>
    <xf numFmtId="0" fontId="42" fillId="6" borderId="0" xfId="0" applyFont="1" applyFill="1" applyAlignment="1">
      <alignment wrapText="1"/>
    </xf>
    <xf numFmtId="2" fontId="7" fillId="3" borderId="106" xfId="0" applyNumberFormat="1" applyFont="1" applyFill="1" applyBorder="1" applyAlignment="1">
      <alignment horizontal="center"/>
    </xf>
    <xf numFmtId="2" fontId="19" fillId="5" borderId="23" xfId="0" applyNumberFormat="1" applyFont="1" applyFill="1" applyBorder="1"/>
    <xf numFmtId="0" fontId="15" fillId="3" borderId="14" xfId="0" applyFont="1" applyFill="1" applyBorder="1" applyAlignment="1">
      <alignment wrapText="1"/>
    </xf>
    <xf numFmtId="0" fontId="0" fillId="13" borderId="15" xfId="0" applyFill="1" applyBorder="1"/>
    <xf numFmtId="2" fontId="3" fillId="13" borderId="23" xfId="1" applyNumberFormat="1" applyFill="1" applyBorder="1" applyAlignment="1">
      <alignment vertical="center" wrapText="1"/>
    </xf>
    <xf numFmtId="9" fontId="0" fillId="0" borderId="17" xfId="0" applyNumberFormat="1" applyBorder="1" applyAlignment="1">
      <alignment horizontal="center" vertical="center"/>
    </xf>
    <xf numFmtId="0" fontId="22" fillId="3" borderId="105" xfId="0" applyFont="1" applyFill="1" applyBorder="1" applyAlignment="1">
      <alignment horizontal="center" wrapText="1"/>
    </xf>
    <xf numFmtId="1" fontId="44" fillId="0" borderId="14" xfId="0" applyNumberFormat="1" applyFont="1" applyBorder="1" applyAlignment="1">
      <alignment horizontal="center" vertical="center" wrapText="1"/>
    </xf>
    <xf numFmtId="0" fontId="0" fillId="13" borderId="23" xfId="0" applyFill="1" applyBorder="1"/>
    <xf numFmtId="17" fontId="23" fillId="0" borderId="9" xfId="0" applyNumberFormat="1" applyFont="1" applyBorder="1" applyAlignment="1">
      <alignment horizontal="center" vertical="center" wrapText="1"/>
    </xf>
    <xf numFmtId="2" fontId="33" fillId="3" borderId="14" xfId="0" applyNumberFormat="1" applyFont="1" applyFill="1" applyBorder="1"/>
    <xf numFmtId="0" fontId="22" fillId="3" borderId="14" xfId="0" applyFont="1" applyFill="1" applyBorder="1" applyAlignment="1">
      <alignment wrapText="1"/>
    </xf>
    <xf numFmtId="9" fontId="0" fillId="3" borderId="0" xfId="0" applyNumberFormat="1" applyFill="1"/>
    <xf numFmtId="0" fontId="0" fillId="3" borderId="0" xfId="0" applyFill="1" applyAlignment="1">
      <alignment horizontal="right"/>
    </xf>
    <xf numFmtId="0" fontId="3" fillId="13" borderId="23" xfId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0" fillId="7" borderId="9" xfId="0" applyNumberFormat="1" applyFill="1" applyBorder="1" applyAlignment="1">
      <alignment horizontal="center"/>
    </xf>
    <xf numFmtId="1" fontId="13" fillId="8" borderId="9" xfId="0" applyNumberFormat="1" applyFont="1" applyFill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2" fontId="3" fillId="13" borderId="16" xfId="1" applyNumberFormat="1" applyFill="1" applyBorder="1" applyAlignment="1">
      <alignment vertical="center" wrapText="1"/>
    </xf>
    <xf numFmtId="0" fontId="33" fillId="3" borderId="14" xfId="0" applyFont="1" applyFill="1" applyBorder="1"/>
    <xf numFmtId="9" fontId="34" fillId="3" borderId="16" xfId="0" applyNumberFormat="1" applyFont="1" applyFill="1" applyBorder="1" applyAlignment="1">
      <alignment horizontal="center"/>
    </xf>
    <xf numFmtId="0" fontId="32" fillId="3" borderId="29" xfId="0" applyFont="1" applyFill="1" applyBorder="1"/>
    <xf numFmtId="2" fontId="32" fillId="3" borderId="29" xfId="0" applyNumberFormat="1" applyFont="1" applyFill="1" applyBorder="1"/>
    <xf numFmtId="2" fontId="33" fillId="3" borderId="29" xfId="0" applyNumberFormat="1" applyFont="1" applyFill="1" applyBorder="1"/>
    <xf numFmtId="0" fontId="15" fillId="3" borderId="29" xfId="0" applyFont="1" applyFill="1" applyBorder="1"/>
    <xf numFmtId="1" fontId="15" fillId="3" borderId="29" xfId="0" applyNumberFormat="1" applyFont="1" applyFill="1" applyBorder="1"/>
    <xf numFmtId="1" fontId="33" fillId="3" borderId="29" xfId="0" applyNumberFormat="1" applyFont="1" applyFill="1" applyBorder="1" applyAlignment="1">
      <alignment horizontal="center"/>
    </xf>
    <xf numFmtId="2" fontId="15" fillId="3" borderId="77" xfId="0" applyNumberFormat="1" applyFont="1" applyFill="1" applyBorder="1"/>
    <xf numFmtId="2" fontId="0" fillId="3" borderId="14" xfId="0" applyNumberFormat="1" applyFill="1" applyBorder="1"/>
    <xf numFmtId="9" fontId="15" fillId="0" borderId="16" xfId="0" applyNumberFormat="1" applyFont="1" applyBorder="1"/>
    <xf numFmtId="2" fontId="15" fillId="0" borderId="16" xfId="0" applyNumberFormat="1" applyFont="1" applyBorder="1"/>
    <xf numFmtId="9" fontId="15" fillId="3" borderId="16" xfId="0" applyNumberFormat="1" applyFont="1" applyFill="1" applyBorder="1"/>
    <xf numFmtId="9" fontId="34" fillId="3" borderId="16" xfId="0" applyNumberFormat="1" applyFont="1" applyFill="1" applyBorder="1"/>
    <xf numFmtId="9" fontId="15" fillId="3" borderId="26" xfId="0" applyNumberFormat="1" applyFont="1" applyFill="1" applyBorder="1"/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2" fillId="6" borderId="29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14" fontId="2" fillId="6" borderId="26" xfId="0" applyNumberFormat="1" applyFont="1" applyFill="1" applyBorder="1" applyAlignment="1">
      <alignment horizontal="center" vertical="center"/>
    </xf>
    <xf numFmtId="14" fontId="2" fillId="6" borderId="30" xfId="0" applyNumberFormat="1" applyFont="1" applyFill="1" applyBorder="1" applyAlignment="1">
      <alignment horizontal="center" vertical="center"/>
    </xf>
    <xf numFmtId="14" fontId="2" fillId="6" borderId="51" xfId="0" applyNumberFormat="1" applyFont="1" applyFill="1" applyBorder="1" applyAlignment="1">
      <alignment horizontal="center" vertical="center"/>
    </xf>
    <xf numFmtId="14" fontId="2" fillId="6" borderId="52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7" fillId="0" borderId="66" xfId="0" applyFont="1" applyBorder="1" applyAlignment="1">
      <alignment horizontal="center"/>
    </xf>
    <xf numFmtId="0" fontId="9" fillId="0" borderId="95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96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0" xfId="0" applyFont="1" applyAlignment="1">
      <alignment horizontal="center"/>
    </xf>
    <xf numFmtId="17" fontId="2" fillId="0" borderId="70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9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6" borderId="98" xfId="0" applyFont="1" applyFill="1" applyBorder="1" applyAlignment="1">
      <alignment horizontal="center"/>
    </xf>
    <xf numFmtId="0" fontId="6" fillId="6" borderId="113" xfId="0" applyFont="1" applyFill="1" applyBorder="1" applyAlignment="1">
      <alignment horizontal="center"/>
    </xf>
    <xf numFmtId="0" fontId="5" fillId="0" borderId="107" xfId="0" applyFont="1" applyBorder="1" applyAlignment="1">
      <alignment horizontal="center"/>
    </xf>
    <xf numFmtId="0" fontId="5" fillId="0" borderId="108" xfId="0" applyFont="1" applyBorder="1" applyAlignment="1">
      <alignment horizontal="center"/>
    </xf>
    <xf numFmtId="14" fontId="2" fillId="6" borderId="144" xfId="0" applyNumberFormat="1" applyFont="1" applyFill="1" applyBorder="1" applyAlignment="1">
      <alignment horizontal="center" vertical="center"/>
    </xf>
    <xf numFmtId="14" fontId="2" fillId="6" borderId="145" xfId="0" applyNumberFormat="1" applyFont="1" applyFill="1" applyBorder="1" applyAlignment="1">
      <alignment horizontal="center" vertical="center"/>
    </xf>
    <xf numFmtId="0" fontId="9" fillId="0" borderId="7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8" xfId="0" applyFont="1" applyBorder="1" applyAlignment="1">
      <alignment horizontal="center"/>
    </xf>
    <xf numFmtId="17" fontId="2" fillId="0" borderId="137" xfId="0" applyNumberFormat="1" applyFont="1" applyBorder="1" applyAlignment="1">
      <alignment horizontal="center"/>
    </xf>
    <xf numFmtId="0" fontId="2" fillId="0" borderId="138" xfId="0" applyFont="1" applyBorder="1" applyAlignment="1">
      <alignment horizontal="center"/>
    </xf>
    <xf numFmtId="0" fontId="6" fillId="0" borderId="139" xfId="0" applyFont="1" applyBorder="1" applyAlignment="1">
      <alignment horizontal="center"/>
    </xf>
    <xf numFmtId="0" fontId="6" fillId="0" borderId="134" xfId="0" applyFont="1" applyBorder="1" applyAlignment="1">
      <alignment horizontal="center"/>
    </xf>
    <xf numFmtId="0" fontId="40" fillId="3" borderId="66" xfId="0" applyFont="1" applyFill="1" applyBorder="1" applyAlignment="1">
      <alignment horizontal="center"/>
    </xf>
    <xf numFmtId="0" fontId="29" fillId="3" borderId="66" xfId="0" applyFont="1" applyFill="1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113" xfId="0" applyBorder="1" applyAlignment="1">
      <alignment horizontal="center"/>
    </xf>
    <xf numFmtId="0" fontId="6" fillId="0" borderId="140" xfId="0" applyFont="1" applyBorder="1" applyAlignment="1">
      <alignment horizontal="center" wrapText="1"/>
    </xf>
    <xf numFmtId="0" fontId="6" fillId="0" borderId="138" xfId="0" applyFont="1" applyBorder="1" applyAlignment="1">
      <alignment horizontal="center" wrapText="1"/>
    </xf>
    <xf numFmtId="0" fontId="43" fillId="0" borderId="107" xfId="0" applyFont="1" applyBorder="1" applyAlignment="1">
      <alignment horizontal="center" vertical="center"/>
    </xf>
    <xf numFmtId="0" fontId="43" fillId="0" borderId="108" xfId="0" applyFont="1" applyBorder="1" applyAlignment="1">
      <alignment horizontal="center" vertical="center"/>
    </xf>
    <xf numFmtId="0" fontId="0" fillId="0" borderId="79" xfId="0" applyBorder="1" applyAlignment="1">
      <alignment horizontal="center"/>
    </xf>
    <xf numFmtId="0" fontId="0" fillId="0" borderId="102" xfId="0" applyBorder="1" applyAlignment="1">
      <alignment horizontal="center"/>
    </xf>
    <xf numFmtId="14" fontId="2" fillId="6" borderId="128" xfId="0" applyNumberFormat="1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14" fontId="2" fillId="6" borderId="128" xfId="0" applyNumberFormat="1" applyFont="1" applyFill="1" applyBorder="1" applyAlignment="1">
      <alignment horizontal="center" vertical="center" wrapText="1"/>
    </xf>
    <xf numFmtId="0" fontId="29" fillId="3" borderId="66" xfId="0" applyFont="1" applyFill="1" applyBorder="1" applyAlignment="1">
      <alignment horizontal="left"/>
    </xf>
    <xf numFmtId="0" fontId="9" fillId="0" borderId="127" xfId="0" applyFont="1" applyBorder="1" applyAlignment="1">
      <alignment horizontal="center"/>
    </xf>
    <xf numFmtId="0" fontId="9" fillId="0" borderId="143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98" xfId="0" applyFont="1" applyBorder="1" applyAlignment="1">
      <alignment horizontal="center"/>
    </xf>
    <xf numFmtId="0" fontId="12" fillId="0" borderId="120" xfId="0" applyFont="1" applyBorder="1" applyAlignment="1">
      <alignment horizontal="center" vertical="center" wrapText="1"/>
    </xf>
    <xf numFmtId="0" fontId="12" fillId="0" borderId="121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 wrapText="1"/>
    </xf>
    <xf numFmtId="0" fontId="2" fillId="6" borderId="79" xfId="0" applyFont="1" applyFill="1" applyBorder="1" applyAlignment="1">
      <alignment horizontal="center" vertical="center"/>
    </xf>
    <xf numFmtId="0" fontId="2" fillId="6" borderId="102" xfId="0" applyFont="1" applyFill="1" applyBorder="1" applyAlignment="1">
      <alignment horizontal="center" vertical="center"/>
    </xf>
    <xf numFmtId="14" fontId="2" fillId="6" borderId="91" xfId="0" applyNumberFormat="1" applyFont="1" applyFill="1" applyBorder="1" applyAlignment="1">
      <alignment horizontal="center" vertical="center"/>
    </xf>
    <xf numFmtId="14" fontId="2" fillId="6" borderId="94" xfId="0" applyNumberFormat="1" applyFont="1" applyFill="1" applyBorder="1" applyAlignment="1">
      <alignment horizontal="center" vertical="center"/>
    </xf>
    <xf numFmtId="17" fontId="2" fillId="0" borderId="26" xfId="0" applyNumberFormat="1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9" fillId="0" borderId="133" xfId="0" applyFont="1" applyBorder="1" applyAlignment="1">
      <alignment horizontal="center"/>
    </xf>
    <xf numFmtId="0" fontId="9" fillId="0" borderId="134" xfId="0" applyFont="1" applyBorder="1" applyAlignment="1">
      <alignment horizontal="center"/>
    </xf>
    <xf numFmtId="0" fontId="8" fillId="0" borderId="127" xfId="0" applyFont="1" applyBorder="1" applyAlignment="1">
      <alignment horizontal="center"/>
    </xf>
    <xf numFmtId="0" fontId="9" fillId="0" borderId="113" xfId="0" applyFont="1" applyBorder="1" applyAlignment="1">
      <alignment horizontal="center"/>
    </xf>
    <xf numFmtId="0" fontId="8" fillId="0" borderId="102" xfId="0" applyFont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18" xfId="0" applyBorder="1" applyAlignment="1">
      <alignment horizontal="center"/>
    </xf>
    <xf numFmtId="0" fontId="12" fillId="0" borderId="85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/>
    </xf>
    <xf numFmtId="0" fontId="9" fillId="0" borderId="90" xfId="0" applyFont="1" applyBorder="1" applyAlignment="1">
      <alignment horizontal="center"/>
    </xf>
    <xf numFmtId="0" fontId="8" fillId="0" borderId="90" xfId="0" applyFont="1" applyBorder="1" applyAlignment="1">
      <alignment horizontal="center"/>
    </xf>
    <xf numFmtId="17" fontId="2" fillId="0" borderId="29" xfId="0" applyNumberFormat="1" applyFont="1" applyBorder="1" applyAlignment="1">
      <alignment horizontal="center"/>
    </xf>
    <xf numFmtId="17" fontId="2" fillId="0" borderId="28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26" xfId="0" applyBorder="1" applyAlignment="1">
      <alignment horizontal="center"/>
    </xf>
    <xf numFmtId="0" fontId="9" fillId="0" borderId="31" xfId="0" applyFont="1" applyBorder="1" applyAlignment="1">
      <alignment horizontal="center"/>
    </xf>
    <xf numFmtId="17" fontId="2" fillId="0" borderId="68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33" xfId="0" applyBorder="1" applyAlignment="1">
      <alignment horizontal="center"/>
    </xf>
    <xf numFmtId="14" fontId="2" fillId="6" borderId="105" xfId="0" applyNumberFormat="1" applyFont="1" applyFill="1" applyBorder="1" applyAlignment="1">
      <alignment horizontal="center" vertical="center"/>
    </xf>
    <xf numFmtId="14" fontId="2" fillId="6" borderId="106" xfId="0" applyNumberFormat="1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2" fillId="6" borderId="131" xfId="0" applyFont="1" applyFill="1" applyBorder="1" applyAlignment="1">
      <alignment horizontal="center" vertical="center"/>
    </xf>
    <xf numFmtId="0" fontId="2" fillId="6" borderId="132" xfId="0" applyFont="1" applyFill="1" applyBorder="1" applyAlignment="1">
      <alignment horizontal="center" vertical="center"/>
    </xf>
    <xf numFmtId="0" fontId="28" fillId="0" borderId="66" xfId="0" applyFont="1" applyBorder="1" applyAlignment="1">
      <alignment horizontal="center"/>
    </xf>
    <xf numFmtId="0" fontId="21" fillId="0" borderId="66" xfId="0" applyFont="1" applyBorder="1" applyAlignment="1">
      <alignment horizontal="left"/>
    </xf>
    <xf numFmtId="0" fontId="6" fillId="0" borderId="53" xfId="0" applyFont="1" applyBorder="1" applyAlignment="1">
      <alignment horizontal="center"/>
    </xf>
    <xf numFmtId="14" fontId="2" fillId="6" borderId="14" xfId="0" applyNumberFormat="1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wrapText="1"/>
    </xf>
    <xf numFmtId="0" fontId="4" fillId="0" borderId="66" xfId="0" applyFont="1" applyBorder="1" applyAlignment="1">
      <alignment horizontal="center"/>
    </xf>
    <xf numFmtId="0" fontId="37" fillId="0" borderId="66" xfId="0" applyFont="1" applyBorder="1" applyAlignment="1">
      <alignment horizontal="center"/>
    </xf>
    <xf numFmtId="0" fontId="17" fillId="0" borderId="66" xfId="0" applyFont="1" applyBorder="1" applyAlignment="1">
      <alignment horizontal="left"/>
    </xf>
    <xf numFmtId="0" fontId="12" fillId="0" borderId="117" xfId="0" applyFont="1" applyBorder="1" applyAlignment="1">
      <alignment horizontal="center" vertical="center" wrapText="1"/>
    </xf>
    <xf numFmtId="0" fontId="12" fillId="0" borderId="115" xfId="0" applyFont="1" applyBorder="1" applyAlignment="1">
      <alignment horizontal="center" vertical="center" wrapText="1"/>
    </xf>
    <xf numFmtId="14" fontId="2" fillId="6" borderId="17" xfId="0" applyNumberFormat="1" applyFont="1" applyFill="1" applyBorder="1" applyAlignment="1">
      <alignment horizontal="center" vertical="center"/>
    </xf>
    <xf numFmtId="0" fontId="31" fillId="0" borderId="66" xfId="0" applyFont="1" applyBorder="1" applyAlignment="1">
      <alignment horizontal="center"/>
    </xf>
    <xf numFmtId="0" fontId="35" fillId="0" borderId="66" xfId="0" applyFont="1" applyBorder="1" applyAlignment="1">
      <alignment horizontal="center"/>
    </xf>
    <xf numFmtId="0" fontId="36" fillId="0" borderId="66" xfId="0" applyFont="1" applyBorder="1" applyAlignment="1">
      <alignment horizontal="center"/>
    </xf>
    <xf numFmtId="0" fontId="26" fillId="0" borderId="80" xfId="0" applyFont="1" applyBorder="1" applyAlignment="1">
      <alignment horizontal="center"/>
    </xf>
    <xf numFmtId="0" fontId="26" fillId="0" borderId="81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26" fillId="0" borderId="66" xfId="0" applyFont="1" applyBorder="1" applyAlignment="1">
      <alignment horizontal="center"/>
    </xf>
    <xf numFmtId="0" fontId="8" fillId="0" borderId="88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2" fillId="6" borderId="0" xfId="0" applyFont="1" applyFill="1" applyAlignment="1">
      <alignment horizontal="center" vertical="center"/>
    </xf>
    <xf numFmtId="14" fontId="2" fillId="6" borderId="92" xfId="0" applyNumberFormat="1" applyFont="1" applyFill="1" applyBorder="1" applyAlignment="1">
      <alignment horizontal="center" vertical="center"/>
    </xf>
    <xf numFmtId="14" fontId="2" fillId="6" borderId="93" xfId="0" applyNumberFormat="1" applyFont="1" applyFill="1" applyBorder="1" applyAlignment="1">
      <alignment horizontal="center" vertical="center"/>
    </xf>
    <xf numFmtId="0" fontId="17" fillId="0" borderId="65" xfId="0" applyFont="1" applyBorder="1" applyAlignment="1">
      <alignment horizontal="center"/>
    </xf>
    <xf numFmtId="0" fontId="9" fillId="0" borderId="118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17" fillId="0" borderId="66" xfId="0" applyFont="1" applyBorder="1" applyAlignment="1">
      <alignment horizontal="center" wrapText="1"/>
    </xf>
    <xf numFmtId="0" fontId="9" fillId="0" borderId="123" xfId="0" applyFont="1" applyBorder="1" applyAlignment="1">
      <alignment horizontal="center"/>
    </xf>
  </cellXfs>
  <cellStyles count="5">
    <cellStyle name="Excel Built-in Normal" xfId="1" xr:uid="{8B38EE2C-9430-4070-B9D8-0F5A1DBD77A8}"/>
    <cellStyle name="Hyperlink" xfId="4" builtinId="8"/>
    <cellStyle name="Normal" xfId="0" builtinId="0"/>
    <cellStyle name="Normal 2" xfId="3" xr:uid="{8B176194-964F-4D3C-9F66-51C971DB55F5}"/>
    <cellStyle name="Percent" xfId="2" builtinId="5"/>
  </cellStyles>
  <dxfs count="108"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FFFFFF"/>
        </patternFill>
      </fill>
    </dxf>
    <dxf>
      <font>
        <color rgb="FFFF0000"/>
      </font>
      <fill>
        <patternFill patternType="solid">
          <bgColor rgb="FFFFFFFF"/>
        </patternFill>
      </fill>
    </dxf>
  </dxfs>
  <tableStyles count="0" defaultTableStyle="TableStyleMedium2" defaultPivotStyle="PivotStyleLight16"/>
  <colors>
    <mruColors>
      <color rgb="FFFCD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A90-4C5E-B4D4-A5CFDC27C9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A90-4C5E-B4D4-A5CFDC27C9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A90-4C5E-B4D4-A5CFDC27C9D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'Bezpeļņas objekti'!$A$20:$A$22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'Bezpeļņas objekti'!$B$20:$B$22</c:f>
              <c:numCache>
                <c:formatCode>0</c:formatCode>
                <c:ptCount val="3"/>
                <c:pt idx="0">
                  <c:v>27.346501348011532</c:v>
                </c:pt>
                <c:pt idx="1">
                  <c:v>71.183395756398767</c:v>
                </c:pt>
                <c:pt idx="2">
                  <c:v>1.470102895589696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90-4C5E-B4D4-A5CFDC27C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 and</a:t>
            </a:r>
            <a:r>
              <a:rPr lang="lv-LV" baseline="0"/>
              <a:t> equipment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0328701220150276"/>
          <c:y val="0.12468573007321453"/>
          <c:w val="0.76641984304178745"/>
          <c:h val="0.74760712805636143"/>
        </c:manualLayout>
      </c:layout>
      <c:barChart>
        <c:barDir val="col"/>
        <c:grouping val="clustered"/>
        <c:varyColors val="0"/>
        <c:ser>
          <c:idx val="4"/>
          <c:order val="4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'Bezpeļņas objekti'!$O$22:$Y$22</c:f>
            </c:numRef>
          </c:val>
          <c:extLst>
            <c:ext xmlns:c16="http://schemas.microsoft.com/office/drawing/2014/chart" uri="{C3380CC4-5D6E-409C-BE32-E72D297353CC}">
              <c16:uniqueId val="{00000007-2190-48BE-A816-4314D7F7F60D}"/>
            </c:ext>
          </c:extLst>
        </c:ser>
        <c:ser>
          <c:idx val="3"/>
          <c:order val="3"/>
          <c:tx>
            <c:v>planned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val>
            <c:numRef>
              <c:f>'Bezpeļņas objekti'!$O$21:$Y$21</c:f>
            </c:numRef>
          </c:val>
          <c:extLst>
            <c:ext xmlns:c16="http://schemas.microsoft.com/office/drawing/2014/chart" uri="{C3380CC4-5D6E-409C-BE32-E72D297353CC}">
              <c16:uniqueId val="{00000006-2190-48BE-A816-4314D7F7F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307600"/>
        <c:axId val="12593036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'Bezpeļņas objekti'!$O$18:$Y$18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0-2190-48BE-A816-4314D7F7F60D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'Bezpeļņas objekti'!$O$19:$Y$19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2190-48BE-A816-4314D7F7F60D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'Bezpeļņas objekti'!$O$20:$Y$20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190-48BE-A816-4314D7F7F60D}"/>
                  </c:ext>
                </c:extLst>
              </c15:ser>
            </c15:filteredBarSeries>
          </c:ext>
        </c:extLst>
      </c:barChart>
      <c:catAx>
        <c:axId val="125930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3664"/>
        <c:crosses val="autoZero"/>
        <c:auto val="1"/>
        <c:lblAlgn val="ctr"/>
        <c:lblOffset val="100"/>
        <c:noMultiLvlLbl val="0"/>
      </c:catAx>
      <c:valAx>
        <c:axId val="125930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D8-43E6-8F5F-83C599FEC4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D8-43E6-8F5F-83C599FEC4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7D8-43E6-8F5F-83C599FEC49A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'Bezpeļņas objekti'!$A$20:$A$22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'Bezpeļņas objekti'!$B$20:$B$22</c:f>
              <c:numCache>
                <c:formatCode>0</c:formatCode>
                <c:ptCount val="3"/>
                <c:pt idx="0">
                  <c:v>27.346501348011532</c:v>
                </c:pt>
                <c:pt idx="1">
                  <c:v>71.183395756398767</c:v>
                </c:pt>
                <c:pt idx="2">
                  <c:v>1.470102895589696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7D8-43E6-8F5F-83C599FEC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 and</a:t>
            </a:r>
            <a:r>
              <a:rPr lang="lv-LV" baseline="0"/>
              <a:t> equipment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0328701220150276"/>
          <c:y val="0.12468573007321453"/>
          <c:w val="0.76641984304178745"/>
          <c:h val="0.74760712805636143"/>
        </c:manualLayout>
      </c:layout>
      <c:barChart>
        <c:barDir val="col"/>
        <c:grouping val="clustered"/>
        <c:varyColors val="0"/>
        <c:ser>
          <c:idx val="4"/>
          <c:order val="4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'Bezpeļņas objekti'!$O$22:$Y$22</c:f>
            </c:numRef>
          </c:val>
          <c:extLst>
            <c:ext xmlns:c16="http://schemas.microsoft.com/office/drawing/2014/chart" uri="{C3380CC4-5D6E-409C-BE32-E72D297353CC}">
              <c16:uniqueId val="{00000000-F686-4CD7-A059-54F51DB87B06}"/>
            </c:ext>
          </c:extLst>
        </c:ser>
        <c:ser>
          <c:idx val="3"/>
          <c:order val="3"/>
          <c:tx>
            <c:v>planned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val>
            <c:numRef>
              <c:f>'Bezpeļņas objekti'!$O$21:$Y$21</c:f>
            </c:numRef>
          </c:val>
          <c:extLst>
            <c:ext xmlns:c16="http://schemas.microsoft.com/office/drawing/2014/chart" uri="{C3380CC4-5D6E-409C-BE32-E72D297353CC}">
              <c16:uniqueId val="{00000001-F686-4CD7-A059-54F51DB8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307600"/>
        <c:axId val="12593036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'Bezpeļņas objekti'!$O$18:$Y$18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2-F686-4CD7-A059-54F51DB87B06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'Bezpeļņas objekti'!$O$19:$Y$19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686-4CD7-A059-54F51DB87B06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'Bezpeļņas objekti'!$O$20:$Y$20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686-4CD7-A059-54F51DB87B06}"/>
                  </c:ext>
                </c:extLst>
              </c15:ser>
            </c15:filteredBarSeries>
          </c:ext>
        </c:extLst>
      </c:barChart>
      <c:catAx>
        <c:axId val="125930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3664"/>
        <c:crosses val="autoZero"/>
        <c:auto val="1"/>
        <c:lblAlgn val="ctr"/>
        <c:lblOffset val="100"/>
        <c:noMultiLvlLbl val="0"/>
      </c:catAx>
      <c:valAx>
        <c:axId val="125930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30E-4E58-AE70-AF8EF65B8E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30E-4E58-AE70-AF8EF65B8E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30E-4E58-AE70-AF8EF65B8E66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'Bezpeļņas objekti'!$A$20:$A$22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'Bezpeļņas objekti'!$B$20:$B$22</c:f>
              <c:numCache>
                <c:formatCode>0</c:formatCode>
                <c:ptCount val="3"/>
                <c:pt idx="0">
                  <c:v>27.346501348011532</c:v>
                </c:pt>
                <c:pt idx="1">
                  <c:v>71.183395756398767</c:v>
                </c:pt>
                <c:pt idx="2">
                  <c:v>1.470102895589696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0E-4E58-AE70-AF8EF65B8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 and</a:t>
            </a:r>
            <a:r>
              <a:rPr lang="lv-LV" baseline="0"/>
              <a:t> equipment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0328701220150276"/>
          <c:y val="0.12468573007321453"/>
          <c:w val="0.76641984304178745"/>
          <c:h val="0.74760712805636143"/>
        </c:manualLayout>
      </c:layout>
      <c:barChart>
        <c:barDir val="col"/>
        <c:grouping val="clustered"/>
        <c:varyColors val="0"/>
        <c:ser>
          <c:idx val="4"/>
          <c:order val="4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'Bezpeļņas objekti'!$O$22:$Y$22</c:f>
            </c:numRef>
          </c:val>
          <c:extLst>
            <c:ext xmlns:c16="http://schemas.microsoft.com/office/drawing/2014/chart" uri="{C3380CC4-5D6E-409C-BE32-E72D297353CC}">
              <c16:uniqueId val="{00000000-0445-4EEB-8798-A5A604D39719}"/>
            </c:ext>
          </c:extLst>
        </c:ser>
        <c:ser>
          <c:idx val="3"/>
          <c:order val="3"/>
          <c:tx>
            <c:v>planned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val>
            <c:numRef>
              <c:f>'Bezpeļņas objekti'!$O$21:$Y$21</c:f>
            </c:numRef>
          </c:val>
          <c:extLst>
            <c:ext xmlns:c16="http://schemas.microsoft.com/office/drawing/2014/chart" uri="{C3380CC4-5D6E-409C-BE32-E72D297353CC}">
              <c16:uniqueId val="{00000001-0445-4EEB-8798-A5A604D39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307600"/>
        <c:axId val="12593036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'Bezpeļņas objekti'!$O$18:$Y$18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2-0445-4EEB-8798-A5A604D39719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'Bezpeļņas objekti'!$O$19:$Y$19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445-4EEB-8798-A5A604D39719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'Bezpeļņas objekti'!$O$20:$Y$20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445-4EEB-8798-A5A604D39719}"/>
                  </c:ext>
                </c:extLst>
              </c15:ser>
            </c15:filteredBarSeries>
          </c:ext>
        </c:extLst>
      </c:barChart>
      <c:catAx>
        <c:axId val="125930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3664"/>
        <c:crosses val="autoZero"/>
        <c:auto val="1"/>
        <c:lblAlgn val="ctr"/>
        <c:lblOffset val="100"/>
        <c:noMultiLvlLbl val="0"/>
      </c:catAx>
      <c:valAx>
        <c:axId val="125930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SPICE!$M$6:$P$6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BF-413F-8129-5840C02F425F}"/>
            </c:ext>
          </c:extLst>
        </c:ser>
        <c:ser>
          <c:idx val="1"/>
          <c:order val="1"/>
          <c:invertIfNegative val="0"/>
          <c:val>
            <c:numRef>
              <c:f>SPICE!$M$7:$P$7</c:f>
              <c:numCache>
                <c:formatCode>0</c:formatCode>
                <c:ptCount val="4"/>
                <c:pt idx="0" formatCode="General">
                  <c:v>44.9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BF-413F-8129-5840C02F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SPICE!$M$21:$V$21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E5-46E6-9910-08A006DFC3F4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SPICE!$M$22:$V$22</c:f>
              <c:numCache>
                <c:formatCode>0</c:formatCode>
                <c:ptCount val="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7E5-46E6-9910-08A006DFC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91-40C6-A8A1-F184CEA4C3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91-40C6-A8A1-F184CEA4C3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91-40C6-A8A1-F184CEA4C340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SPICE!$A$23:$A$25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SPICE!$B$23:$B$25</c:f>
              <c:numCache>
                <c:formatCode>0%</c:formatCode>
                <c:ptCount val="3"/>
                <c:pt idx="0">
                  <c:v>4.4547111325080484E-2</c:v>
                </c:pt>
                <c:pt idx="1">
                  <c:v>0.95545288867491951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B3-4901-9892-43E3E9AB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SPICE!$A$23:$A$25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SPICE!$B$23:$B$25</c:f>
              <c:numCache>
                <c:formatCode>0%</c:formatCode>
                <c:ptCount val="3"/>
                <c:pt idx="0">
                  <c:v>4.4547111325080484E-2</c:v>
                </c:pt>
                <c:pt idx="1">
                  <c:v>0.95545288867491951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69-4594-AA6C-90ECDF7E50FB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SPICE!$A$23:$A$25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SPICE!$C$23:$C$25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6-4369-4594-AA6C-90ECDF7E5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HAM!$M$6:$R$6</c:f>
              <c:numCache>
                <c:formatCode>0</c:formatCode>
                <c:ptCount val="6"/>
                <c:pt idx="0">
                  <c:v>123.99250000000001</c:v>
                </c:pt>
                <c:pt idx="1">
                  <c:v>123.99250000000001</c:v>
                </c:pt>
                <c:pt idx="2">
                  <c:v>123.99250000000001</c:v>
                </c:pt>
                <c:pt idx="3">
                  <c:v>123.99250000000001</c:v>
                </c:pt>
                <c:pt idx="4">
                  <c:v>123.99250000000001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64-45F7-AE42-BC1419D2DC06}"/>
            </c:ext>
          </c:extLst>
        </c:ser>
        <c:ser>
          <c:idx val="1"/>
          <c:order val="1"/>
          <c:invertIfNegative val="0"/>
          <c:val>
            <c:numRef>
              <c:f>HAM!$M$7:$R$7</c:f>
              <c:numCache>
                <c:formatCode>0</c:formatCode>
                <c:ptCount val="6"/>
                <c:pt idx="0" formatCode="General">
                  <c:v>48.73</c:v>
                </c:pt>
                <c:pt idx="1">
                  <c:v>146.03</c:v>
                </c:pt>
                <c:pt idx="2">
                  <c:v>47.59</c:v>
                </c:pt>
                <c:pt idx="4">
                  <c:v>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64-45F7-AE42-BC1419D2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HAM!$M$21:$R$21</c:f>
              <c:numCache>
                <c:formatCode>0</c:formatCode>
                <c:ptCount val="6"/>
                <c:pt idx="0">
                  <c:v>1625</c:v>
                </c:pt>
                <c:pt idx="1">
                  <c:v>1625</c:v>
                </c:pt>
                <c:pt idx="2">
                  <c:v>1625</c:v>
                </c:pt>
                <c:pt idx="3">
                  <c:v>1625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D3E-4808-8EE9-C9D1ABF0F98C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HAM!$M$22:$T$22</c:f>
              <c:numCache>
                <c:formatCode>0</c:formatCode>
                <c:ptCount val="6"/>
                <c:pt idx="0">
                  <c:v>2841</c:v>
                </c:pt>
                <c:pt idx="2">
                  <c:v>546.6</c:v>
                </c:pt>
                <c:pt idx="3">
                  <c:v>593.5</c:v>
                </c:pt>
                <c:pt idx="4">
                  <c:v>1508.92</c:v>
                </c:pt>
                <c:pt idx="5">
                  <c:v>456.47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D3E-4808-8EE9-C9D1ABF0F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8A-4E52-A8EE-A1CD4EB962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8A-4E52-A8EE-A1CD4EB962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8A-4E52-A8EE-A1CD4EB962F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HAM!$A$23:$A$25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HAM!$B$23:$B$25</c:f>
              <c:numCache>
                <c:formatCode>0%</c:formatCode>
                <c:ptCount val="3"/>
                <c:pt idx="0">
                  <c:v>0.51767679239763964</c:v>
                </c:pt>
                <c:pt idx="1">
                  <c:v>0.3256329836973117</c:v>
                </c:pt>
                <c:pt idx="2">
                  <c:v>0.15669022390504847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35-4AE7-ADD0-44D59A43C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HAM!$A$23:$A$25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HAM!$B$23:$B$25</c:f>
              <c:numCache>
                <c:formatCode>0%</c:formatCode>
                <c:ptCount val="3"/>
                <c:pt idx="0">
                  <c:v>0.51767679239763964</c:v>
                </c:pt>
                <c:pt idx="1">
                  <c:v>0.3256329836973117</c:v>
                </c:pt>
                <c:pt idx="2">
                  <c:v>0.15669022390504847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D1-4317-B904-CF820D88DD53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HAM!$A$23:$A$25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HAM!$C$23:$C$25</c:f>
              <c:numCache>
                <c:formatCode>0%</c:formatCode>
                <c:ptCount val="3"/>
                <c:pt idx="0">
                  <c:v>0.1516665736743513</c:v>
                </c:pt>
                <c:pt idx="1">
                  <c:v>0.26814939669613441</c:v>
                </c:pt>
                <c:pt idx="2">
                  <c:v>0.5801838133683157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D1-4317-B904-CF820D88D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BERG!$O$6:$S$6</c:f>
              <c:numCache>
                <c:formatCode>0</c:formatCode>
                <c:ptCount val="5"/>
                <c:pt idx="0">
                  <c:v>248.18</c:v>
                </c:pt>
                <c:pt idx="1">
                  <c:v>248.18</c:v>
                </c:pt>
                <c:pt idx="2">
                  <c:v>248.18</c:v>
                </c:pt>
                <c:pt idx="3">
                  <c:v>248.18</c:v>
                </c:pt>
                <c:pt idx="4">
                  <c:v>248.18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E2-4841-BEBE-0E0102282A0D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BERG!$O$7:$S$7</c:f>
              <c:numCache>
                <c:formatCode>0</c:formatCode>
                <c:ptCount val="5"/>
                <c:pt idx="0" formatCode="General">
                  <c:v>159.66999999999999</c:v>
                </c:pt>
                <c:pt idx="1">
                  <c:v>273.94</c:v>
                </c:pt>
                <c:pt idx="2">
                  <c:v>298.2</c:v>
                </c:pt>
                <c:pt idx="3">
                  <c:v>287.08000000000004</c:v>
                </c:pt>
                <c:pt idx="4">
                  <c:v>170.52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1E2-4841-BEBE-0E0102282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BERG!$O$21:$S$21</c:f>
              <c:numCache>
                <c:formatCode>0</c:formatCode>
                <c:ptCount val="5"/>
                <c:pt idx="0">
                  <c:v>1800</c:v>
                </c:pt>
                <c:pt idx="1">
                  <c:v>1800</c:v>
                </c:pt>
                <c:pt idx="2">
                  <c:v>1800</c:v>
                </c:pt>
                <c:pt idx="3">
                  <c:v>1800</c:v>
                </c:pt>
                <c:pt idx="4">
                  <c:v>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72-489F-ABCE-0D37CAC279CD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BERG!$O$22:$S$22</c:f>
              <c:numCache>
                <c:formatCode>0</c:formatCode>
                <c:ptCount val="5"/>
                <c:pt idx="0">
                  <c:v>6508.58</c:v>
                </c:pt>
                <c:pt idx="1">
                  <c:v>1232</c:v>
                </c:pt>
                <c:pt idx="3">
                  <c:v>148.30000000000001</c:v>
                </c:pt>
                <c:pt idx="4">
                  <c:v>699.98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72-489F-ABCE-0D37CAC27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4B-4812-BF28-50D18F6FB5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4B-4812-BF28-50D18F6FB5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4B-4812-BF28-50D18F6FB5F8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BERG!$A$23:$A$25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BERG!$B$23:$B$25</c:f>
              <c:numCache>
                <c:formatCode>0%</c:formatCode>
                <c:ptCount val="3"/>
                <c:pt idx="0">
                  <c:v>0.30472986778878114</c:v>
                </c:pt>
                <c:pt idx="1">
                  <c:v>0.48933336273839695</c:v>
                </c:pt>
                <c:pt idx="2">
                  <c:v>0.20593676947282208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C7E-49CB-A5AA-FF6E708D2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BERG!$A$23:$A$25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BERG!$B$23:$B$25</c:f>
              <c:numCache>
                <c:formatCode>0%</c:formatCode>
                <c:ptCount val="3"/>
                <c:pt idx="0">
                  <c:v>0.30472986778878114</c:v>
                </c:pt>
                <c:pt idx="1">
                  <c:v>0.48933336273839695</c:v>
                </c:pt>
                <c:pt idx="2">
                  <c:v>0.20593676947282208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01-438C-9F13-B6E18D6E0701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BERG!$A$23:$A$25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BERG!$C$23:$C$25</c:f>
              <c:numCache>
                <c:formatCode>0%</c:formatCode>
                <c:ptCount val="3"/>
                <c:pt idx="0">
                  <c:v>0.23803863787499449</c:v>
                </c:pt>
                <c:pt idx="1">
                  <c:v>0.42891475278095781</c:v>
                </c:pt>
                <c:pt idx="2">
                  <c:v>0.32820033320112241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01-438C-9F13-B6E18D6E0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'WIE2'!$M$6:$P$6</c:f>
              <c:numCache>
                <c:formatCode>0</c:formatCode>
                <c:ptCount val="4"/>
                <c:pt idx="0">
                  <c:v>206.5</c:v>
                </c:pt>
                <c:pt idx="1">
                  <c:v>206.5</c:v>
                </c:pt>
                <c:pt idx="2">
                  <c:v>206.5</c:v>
                </c:pt>
                <c:pt idx="3">
                  <c:v>206.5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29-4ACF-B8BF-125738D383F9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'WIE2'!$M$7:$P$7</c:f>
              <c:numCache>
                <c:formatCode>0</c:formatCode>
                <c:ptCount val="4"/>
                <c:pt idx="0" formatCode="General">
                  <c:v>268.12</c:v>
                </c:pt>
                <c:pt idx="1">
                  <c:v>272.2</c:v>
                </c:pt>
                <c:pt idx="2">
                  <c:v>243.97</c:v>
                </c:pt>
                <c:pt idx="3">
                  <c:v>56.88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29-4ACF-B8BF-125738D38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'WIE2'!$M$21:$P$21</c:f>
              <c:numCache>
                <c:formatCode>0</c:formatCode>
                <c:ptCount val="4"/>
                <c:pt idx="0">
                  <c:v>1687.5</c:v>
                </c:pt>
                <c:pt idx="1">
                  <c:v>1687.5</c:v>
                </c:pt>
                <c:pt idx="2">
                  <c:v>1687.5</c:v>
                </c:pt>
                <c:pt idx="3">
                  <c:v>1687.5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73-4921-A0D9-DE4F6AAFAB54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'WIE2'!$M$22:$P$22</c:f>
              <c:numCache>
                <c:formatCode>0</c:formatCode>
                <c:ptCount val="4"/>
                <c:pt idx="0">
                  <c:v>3220.4700000000003</c:v>
                </c:pt>
                <c:pt idx="2">
                  <c:v>146.81</c:v>
                </c:pt>
                <c:pt idx="3">
                  <c:v>212.70999999999998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73-4921-A0D9-DE4F6AAFA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72-4572-96D4-11D8963A22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72-4572-96D4-11D8963A22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772-4572-96D4-11D8963A225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'WIE2'!$A$23:$A$25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'WIE2'!$B$23:$B$25</c:f>
              <c:numCache>
                <c:formatCode>0%</c:formatCode>
                <c:ptCount val="3"/>
                <c:pt idx="0">
                  <c:v>0.45267684909677031</c:v>
                </c:pt>
                <c:pt idx="1">
                  <c:v>0.40193672474854286</c:v>
                </c:pt>
                <c:pt idx="2">
                  <c:v>0.14538642615468655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E9-4BC2-826C-992E0EDD7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'WIE2'!$A$23:$A$25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'WIE2'!$B$23:$B$25</c:f>
              <c:numCache>
                <c:formatCode>0%</c:formatCode>
                <c:ptCount val="3"/>
                <c:pt idx="0">
                  <c:v>0.45267684909677031</c:v>
                </c:pt>
                <c:pt idx="1">
                  <c:v>0.40193672474854286</c:v>
                </c:pt>
                <c:pt idx="2">
                  <c:v>0.14538642615468655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FE-473A-8BB0-0924EF1CEE57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'WIE2'!$A$23:$A$25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'WIE2'!$C$23:$C$25</c:f>
              <c:numCache>
                <c:formatCode>0%</c:formatCode>
                <c:ptCount val="3"/>
                <c:pt idx="0">
                  <c:v>0.13075905616838251</c:v>
                </c:pt>
                <c:pt idx="1">
                  <c:v>0.33349133977670037</c:v>
                </c:pt>
                <c:pt idx="2">
                  <c:v>0.38267076449430426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FE-473A-8BB0-0924EF1CE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MUN!$M$6:$Q$6</c:f>
              <c:numCache>
                <c:formatCode>0</c:formatCode>
                <c:ptCount val="5"/>
                <c:pt idx="0">
                  <c:v>211.16</c:v>
                </c:pt>
                <c:pt idx="1">
                  <c:v>211.16</c:v>
                </c:pt>
                <c:pt idx="2">
                  <c:v>211.16</c:v>
                </c:pt>
                <c:pt idx="3">
                  <c:v>211.16</c:v>
                </c:pt>
                <c:pt idx="4">
                  <c:v>211.16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1C-4867-BE35-91BCFD9D385C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MUN!$M$7:$Q$7</c:f>
              <c:numCache>
                <c:formatCode>0</c:formatCode>
                <c:ptCount val="5"/>
                <c:pt idx="0" formatCode="General">
                  <c:v>337</c:v>
                </c:pt>
                <c:pt idx="1">
                  <c:v>319</c:v>
                </c:pt>
                <c:pt idx="2">
                  <c:v>271.8</c:v>
                </c:pt>
                <c:pt idx="3">
                  <c:v>180.18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1C-4867-BE35-91BCFD9D3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MUN!$M$21:$Q$21</c:f>
              <c:numCache>
                <c:formatCode>0</c:formatCode>
                <c:ptCount val="5"/>
                <c:pt idx="0">
                  <c:v>2000</c:v>
                </c:pt>
                <c:pt idx="1">
                  <c:v>2000</c:v>
                </c:pt>
                <c:pt idx="2">
                  <c:v>2000</c:v>
                </c:pt>
                <c:pt idx="3">
                  <c:v>2000</c:v>
                </c:pt>
                <c:pt idx="4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20-46FC-BC74-ACA000B99A03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MUN!$M$22:$Q$22</c:f>
              <c:numCache>
                <c:formatCode>0</c:formatCode>
                <c:ptCount val="5"/>
                <c:pt idx="0">
                  <c:v>4336.24</c:v>
                </c:pt>
                <c:pt idx="1">
                  <c:v>2700</c:v>
                </c:pt>
                <c:pt idx="2">
                  <c:v>106.52</c:v>
                </c:pt>
                <c:pt idx="3">
                  <c:v>195.4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20-46FC-BC74-ACA000B99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43-4CC6-9C34-0DEE807934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3-4CC6-9C34-0DEE807934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43-4CC6-9C34-0DEE80793421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MUN!$A$23:$A$25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MUN!$B$23:$B$25</c:f>
              <c:numCache>
                <c:formatCode>0%</c:formatCode>
                <c:ptCount val="3"/>
                <c:pt idx="0">
                  <c:v>0.37843883886976787</c:v>
                </c:pt>
                <c:pt idx="1">
                  <c:v>0.45673253394380875</c:v>
                </c:pt>
                <c:pt idx="2">
                  <c:v>0.16482862718642347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214-4C16-B5FD-396724227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MUN!$A$23:$A$25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MUN!$B$23:$B$25</c:f>
              <c:numCache>
                <c:formatCode>0%</c:formatCode>
                <c:ptCount val="3"/>
                <c:pt idx="0">
                  <c:v>0.37843883886976787</c:v>
                </c:pt>
                <c:pt idx="1">
                  <c:v>0.45673253394380875</c:v>
                </c:pt>
                <c:pt idx="2">
                  <c:v>0.16482862718642347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3B-4A91-AC09-132FD761CA0E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MUN!$A$23:$A$25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MUN!$C$23:$C$25</c:f>
              <c:numCache>
                <c:formatCode>0%</c:formatCode>
                <c:ptCount val="3"/>
                <c:pt idx="0">
                  <c:v>0.16853267249932272</c:v>
                </c:pt>
                <c:pt idx="1">
                  <c:v>0.43830919333317847</c:v>
                </c:pt>
                <c:pt idx="2">
                  <c:v>0.39292229051722377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3B-4A91-AC09-132FD761C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ING!$M$6:$P$6</c:f>
              <c:numCache>
                <c:formatCode>0</c:formatCode>
                <c:ptCount val="3"/>
                <c:pt idx="0">
                  <c:v>208.17</c:v>
                </c:pt>
                <c:pt idx="1">
                  <c:v>208.17</c:v>
                </c:pt>
                <c:pt idx="2">
                  <c:v>208.17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76-4730-AA0B-1812DBD83478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ING!$M$7:$P$7</c:f>
              <c:numCache>
                <c:formatCode>0</c:formatCode>
                <c:ptCount val="3"/>
                <c:pt idx="0" formatCode="General">
                  <c:v>376.15</c:v>
                </c:pt>
                <c:pt idx="1">
                  <c:v>235</c:v>
                </c:pt>
                <c:pt idx="2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76-4730-AA0B-1812DBD83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ING!$M$21:$P$21</c:f>
              <c:numCache>
                <c:formatCode>0</c:formatCode>
                <c:ptCount val="3"/>
                <c:pt idx="0">
                  <c:v>1333.3333333333333</c:v>
                </c:pt>
                <c:pt idx="1">
                  <c:v>1333.3333333333333</c:v>
                </c:pt>
                <c:pt idx="2">
                  <c:v>1333.3333333333333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BC-4F61-B178-56DF99A04DB6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ING!$M$22:$P$22</c:f>
              <c:numCache>
                <c:formatCode>0</c:formatCode>
                <c:ptCount val="3"/>
                <c:pt idx="0">
                  <c:v>4239.68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BC-4F61-B178-56DF99A04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3-44EF-8063-2E3063B5B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3-44EF-8063-2E3063B5B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F3-44EF-8063-2E3063B5B8A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ING!$A$23:$A$25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ING!$B$23:$B$25</c:f>
              <c:numCache>
                <c:formatCode>0%</c:formatCode>
                <c:ptCount val="3"/>
                <c:pt idx="0">
                  <c:v>0.49195951121987724</c:v>
                </c:pt>
                <c:pt idx="1">
                  <c:v>0.38817184371616215</c:v>
                </c:pt>
                <c:pt idx="2">
                  <c:v>0.11986864506396053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9A-4E85-957C-A76B4E54B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ING!$A$23:$A$25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ING!$B$23:$B$25</c:f>
              <c:numCache>
                <c:formatCode>0%</c:formatCode>
                <c:ptCount val="3"/>
                <c:pt idx="0">
                  <c:v>0.49195951121987724</c:v>
                </c:pt>
                <c:pt idx="1">
                  <c:v>0.38817184371616215</c:v>
                </c:pt>
                <c:pt idx="2">
                  <c:v>0.11986864506396053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0-4AAB-9340-E6420CC28403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ING!$A$23:$A$25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ING!$C$23:$C$25</c:f>
              <c:numCache>
                <c:formatCode>0%</c:formatCode>
                <c:ptCount val="3"/>
                <c:pt idx="0">
                  <c:v>0.15591667585046523</c:v>
                </c:pt>
                <c:pt idx="1">
                  <c:v>0.2888007583888253</c:v>
                </c:pt>
                <c:pt idx="2">
                  <c:v>0.55628199098932973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D0-4AAB-9340-E6420CC28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LULU2!$O$6:$S$6</c:f>
            </c:numRef>
          </c:val>
          <c:extLst>
            <c:ext xmlns:c16="http://schemas.microsoft.com/office/drawing/2014/chart" uri="{C3380CC4-5D6E-409C-BE32-E72D297353CC}">
              <c16:uniqueId val="{00000000-D7E1-49EB-9CBD-6D086C6232B0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LULU2!$O$7:$S$7</c:f>
            </c:numRef>
          </c:val>
          <c:extLst>
            <c:ext xmlns:c16="http://schemas.microsoft.com/office/drawing/2014/chart" uri="{C3380CC4-5D6E-409C-BE32-E72D297353CC}">
              <c16:uniqueId val="{00000001-D7E1-49EB-9CBD-6D086C623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LULU2!$O$22:$S$22</c:f>
            </c:numRef>
          </c:val>
          <c:extLst>
            <c:ext xmlns:c16="http://schemas.microsoft.com/office/drawing/2014/chart" uri="{C3380CC4-5D6E-409C-BE32-E72D297353CC}">
              <c16:uniqueId val="{00000000-2D68-49C3-A512-BCE8FCE08C00}"/>
            </c:ext>
          </c:extLst>
        </c:ser>
        <c:ser>
          <c:idx val="0"/>
          <c:order val="0"/>
          <c:invertIfNegative val="0"/>
          <c:val>
            <c:numRef>
              <c:f>LULU2!$O$21:$S$21</c:f>
            </c:numRef>
          </c:val>
          <c:extLst>
            <c:ext xmlns:c16="http://schemas.microsoft.com/office/drawing/2014/chart" uri="{C3380CC4-5D6E-409C-BE32-E72D297353CC}">
              <c16:uniqueId val="{00000001-2D68-49C3-A512-BCE8FCE08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LULU2!$M$6:$N$6</c:f>
              <c:numCache>
                <c:formatCode>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47-4699-AEAA-CAEC5C11A25A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LULU2!$M$7:$N$7</c:f>
              <c:numCache>
                <c:formatCode>0</c:formatCode>
                <c:ptCount val="2"/>
                <c:pt idx="0" formatCode="General">
                  <c:v>200.75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47-4699-AEAA-CAEC5C11A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LULU2!$M$21:$N$21</c:f>
              <c:numCache>
                <c:formatCode>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29-4D65-BEDA-042E8032BBF0}"/>
            </c:ext>
          </c:extLst>
        </c:ser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</c:spPr>
          <c:invertIfNegative val="0"/>
          <c:val>
            <c:numRef>
              <c:f>LULU2!$M$22:$N$22</c:f>
              <c:numCache>
                <c:formatCode>0</c:formatCode>
                <c:ptCount val="2"/>
                <c:pt idx="0">
                  <c:v>697.08380768893949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29-4D65-BEDA-042E8032B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DD-4550-82A3-3256F44403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DD-4550-82A3-3256F44403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3DD-4550-82A3-3256F44403F0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LULU2!$A$23:$A$25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LULU2!$B$23:$B$25</c:f>
              <c:numCache>
                <c:formatCode>0%</c:formatCode>
                <c:ptCount val="3"/>
                <c:pt idx="0">
                  <c:v>0.59571764396399318</c:v>
                </c:pt>
                <c:pt idx="1">
                  <c:v>0.35975986563835788</c:v>
                </c:pt>
                <c:pt idx="2">
                  <c:v>4.4522490397648953E-2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FD-488C-9B5A-9A3E266C8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LULU2!$A$23:$A$25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LULU2!$B$23:$B$25</c:f>
              <c:numCache>
                <c:formatCode>0%</c:formatCode>
                <c:ptCount val="3"/>
                <c:pt idx="0">
                  <c:v>0.59571764396399318</c:v>
                </c:pt>
                <c:pt idx="1">
                  <c:v>0.35975986563835788</c:v>
                </c:pt>
                <c:pt idx="2">
                  <c:v>4.4522490397648953E-2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EF-4444-8DFB-B1B08FC9450E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LULU2!$A$23:$A$25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LULU2!$C$23:$C$25</c:f>
              <c:numCache>
                <c:formatCode>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4-08EF-4444-8DFB-B1B08FC94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LIN!$M$6:$O$6</c:f>
              <c:numCache>
                <c:formatCode>0</c:formatCode>
                <c:ptCount val="3"/>
                <c:pt idx="0">
                  <c:v>340</c:v>
                </c:pt>
                <c:pt idx="1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0-4089-AE12-2F7EB6806AE5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LIN!$M$7:$O$7</c:f>
              <c:numCache>
                <c:formatCode>0</c:formatCode>
                <c:ptCount val="3"/>
                <c:pt idx="0" formatCode="General">
                  <c:v>211.52</c:v>
                </c:pt>
                <c:pt idx="1">
                  <c:v>269.38</c:v>
                </c:pt>
                <c:pt idx="2">
                  <c:v>117.88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F0-4089-AE12-2F7EB6806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LIN!$M$22:$O$22</c:f>
              <c:numCache>
                <c:formatCode>0</c:formatCode>
                <c:ptCount val="3"/>
                <c:pt idx="0">
                  <c:v>2913</c:v>
                </c:pt>
                <c:pt idx="1">
                  <c:v>241.92</c:v>
                </c:pt>
                <c:pt idx="2">
                  <c:v>872.73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E-4CFA-AE78-1B2AEB16CF13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LIN!$M$21:$O$21</c:f>
              <c:numCache>
                <c:formatCode>0</c:formatCode>
                <c:ptCount val="3"/>
                <c:pt idx="0">
                  <c:v>2400</c:v>
                </c:pt>
                <c:pt idx="1">
                  <c:v>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BE-4CFA-AE78-1B2AEB16C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8C-4196-A1DB-F5D6F86B7B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98C-4196-A1DB-F5D6F86B7B5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8C-4196-A1DB-F5D6F86B7B5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LIN!$A$23:$A$25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LIN!$B$23:$B$25</c:f>
              <c:numCache>
                <c:formatCode>0%</c:formatCode>
                <c:ptCount val="3"/>
                <c:pt idx="0">
                  <c:v>0.17045520139854328</c:v>
                </c:pt>
                <c:pt idx="1">
                  <c:v>0.64737212210012951</c:v>
                </c:pt>
                <c:pt idx="2">
                  <c:v>0.18217267650132726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698-41EE-A42B-134AD8C7D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LIN!$A$23:$A$25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LIN!$B$23:$B$25</c:f>
              <c:numCache>
                <c:formatCode>0%</c:formatCode>
                <c:ptCount val="3"/>
                <c:pt idx="0">
                  <c:v>0.17045520139854328</c:v>
                </c:pt>
                <c:pt idx="1">
                  <c:v>0.64737212210012951</c:v>
                </c:pt>
                <c:pt idx="2">
                  <c:v>0.18217267650132726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A-41ED-96C2-C5402DBAE1B7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LIN!$A$23:$A$25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LIN!$C$23:$C$25</c:f>
              <c:numCache>
                <c:formatCode>0%</c:formatCode>
                <c:ptCount val="3"/>
                <c:pt idx="0">
                  <c:v>0.14732775270622789</c:v>
                </c:pt>
                <c:pt idx="1">
                  <c:v>0.41965783729879952</c:v>
                </c:pt>
                <c:pt idx="2">
                  <c:v>0.43700494643273341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8A-41ED-96C2-C5402DBA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WIE!$M$6:$R$6</c:f>
              <c:numCache>
                <c:formatCode>0</c:formatCode>
                <c:ptCount val="2"/>
                <c:pt idx="0">
                  <c:v>187.875</c:v>
                </c:pt>
                <c:pt idx="1">
                  <c:v>187.875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9-4B41-B7BA-EACEFAE1BCEC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WIE!$M$7:$R$7</c:f>
              <c:numCache>
                <c:formatCode>0</c:formatCode>
                <c:ptCount val="2"/>
                <c:pt idx="0">
                  <c:v>145.57</c:v>
                </c:pt>
                <c:pt idx="1">
                  <c:v>94.9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9-4B41-B7BA-EACEFAE1B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WIE!$M$23:$R$23</c:f>
              <c:numCache>
                <c:formatCode>0</c:formatCode>
                <c:ptCount val="2"/>
                <c:pt idx="0">
                  <c:v>2183.48</c:v>
                </c:pt>
                <c:pt idx="1">
                  <c:v>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9-436A-9B68-9055AA896A85}"/>
            </c:ext>
          </c:extLst>
        </c:ser>
        <c:ser>
          <c:idx val="0"/>
          <c:order val="0"/>
          <c:invertIfNegative val="0"/>
          <c:val>
            <c:numRef>
              <c:f>WIE!$M$22:$R$22</c:f>
              <c:numCache>
                <c:formatCode>0</c:formatCode>
                <c:ptCount val="2"/>
                <c:pt idx="0">
                  <c:v>1900</c:v>
                </c:pt>
                <c:pt idx="1">
                  <c:v>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F9-436A-9B68-9055AA896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2F-4316-AB3C-298CC4B98B1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2F-4316-AB3C-298CC4B98B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2F-4316-AB3C-298CC4B98B1D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WIE!$B$23:$B$25</c:f>
              <c:numCache>
                <c:formatCode>0%</c:formatCode>
                <c:ptCount val="3"/>
                <c:pt idx="0">
                  <c:v>0.44932775451694584</c:v>
                </c:pt>
                <c:pt idx="1">
                  <c:v>0.39288022531724553</c:v>
                </c:pt>
                <c:pt idx="2">
                  <c:v>0.15779202016580868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B07-4E0C-9A1E-9CF301A43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WIE!$B$23:$B$25</c:f>
              <c:numCache>
                <c:formatCode>0%</c:formatCode>
                <c:ptCount val="3"/>
                <c:pt idx="0">
                  <c:v>0.44932775451694584</c:v>
                </c:pt>
                <c:pt idx="1">
                  <c:v>0.39288022531724553</c:v>
                </c:pt>
                <c:pt idx="2">
                  <c:v>0.15779202016580868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04-41F0-8755-5A0668260489}"/>
            </c:ext>
          </c:extLst>
        </c:ser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WIE!$C$23:$C$25</c:f>
              <c:numCache>
                <c:formatCode>0%</c:formatCode>
                <c:ptCount val="3"/>
                <c:pt idx="0">
                  <c:v>0.10771003885791071</c:v>
                </c:pt>
                <c:pt idx="1">
                  <c:v>0.3547057374671122</c:v>
                </c:pt>
                <c:pt idx="2">
                  <c:v>0.53758455562364194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04-41F0-8755-5A0668260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E09-4978-9A47-DA2C0804AD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E09-4978-9A47-DA2C0804AD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E09-4978-9A47-DA2C0804AD38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SEI!$A$23:$A$25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SEI!$B$23:$B$25</c:f>
              <c:numCache>
                <c:formatCode>0%</c:formatCode>
                <c:ptCount val="3"/>
                <c:pt idx="0">
                  <c:v>0.46391285311258235</c:v>
                </c:pt>
                <c:pt idx="1">
                  <c:v>0.38480875873516102</c:v>
                </c:pt>
                <c:pt idx="2">
                  <c:v>0.15127838815225664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E09-4978-9A47-DA2C0804A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SEI!$P$6:$W$6</c:f>
              <c:numCache>
                <c:formatCode>0</c:formatCode>
                <c:ptCount val="8"/>
                <c:pt idx="0">
                  <c:v>143.04400000000001</c:v>
                </c:pt>
                <c:pt idx="1">
                  <c:v>143.04400000000001</c:v>
                </c:pt>
                <c:pt idx="2">
                  <c:v>143.04400000000001</c:v>
                </c:pt>
                <c:pt idx="3">
                  <c:v>143.04400000000001</c:v>
                </c:pt>
                <c:pt idx="4">
                  <c:v>143.04400000000001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D-4138-ADB8-44035D12374A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SEI!$P$7:$W$7</c:f>
              <c:numCache>
                <c:formatCode>0</c:formatCode>
                <c:ptCount val="8"/>
                <c:pt idx="0" formatCode="General">
                  <c:v>73</c:v>
                </c:pt>
                <c:pt idx="1">
                  <c:v>148</c:v>
                </c:pt>
                <c:pt idx="2">
                  <c:v>107.68</c:v>
                </c:pt>
                <c:pt idx="3">
                  <c:v>217.4</c:v>
                </c:pt>
                <c:pt idx="4">
                  <c:v>188.4</c:v>
                </c:pt>
                <c:pt idx="5">
                  <c:v>30.75</c:v>
                </c:pt>
                <c:pt idx="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CD-4138-ADB8-44035D123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SEI!$P$25:$S$25</c:f>
              <c:numCache>
                <c:formatCode>0</c:formatCode>
                <c:ptCount val="4"/>
                <c:pt idx="0">
                  <c:v>257.85000000000002</c:v>
                </c:pt>
                <c:pt idx="1">
                  <c:v>3255.9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3-4AEB-B909-FD1E70C47587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SEI!$P$24:$S$24</c:f>
              <c:numCache>
                <c:formatCode>0</c:formatCode>
                <c:ptCount val="4"/>
                <c:pt idx="0">
                  <c:v>740</c:v>
                </c:pt>
                <c:pt idx="1">
                  <c:v>740</c:v>
                </c:pt>
                <c:pt idx="2">
                  <c:v>740</c:v>
                </c:pt>
                <c:pt idx="3">
                  <c:v>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B3-4AEB-B909-FD1E70C47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SEI!$A$23:$A$25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SEI!$B$23:$B$25</c:f>
              <c:numCache>
                <c:formatCode>0%</c:formatCode>
                <c:ptCount val="3"/>
                <c:pt idx="0">
                  <c:v>0.46391285311258235</c:v>
                </c:pt>
                <c:pt idx="1">
                  <c:v>0.38480875873516102</c:v>
                </c:pt>
                <c:pt idx="2">
                  <c:v>0.15127838815225664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8-4B70-8FD7-6EC785C3B0F0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SEI!$A$23:$A$25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SEI!$C$23:$C$25</c:f>
              <c:numCache>
                <c:formatCode>0%</c:formatCode>
                <c:ptCount val="3"/>
                <c:pt idx="0">
                  <c:v>0.12152893783066632</c:v>
                </c:pt>
                <c:pt idx="1">
                  <c:v>0.32473564667480648</c:v>
                </c:pt>
                <c:pt idx="2">
                  <c:v>0.55373541549452721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8-4B70-8FD7-6EC785C3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KRE!$O$6:$Q$6</c:f>
              <c:numCache>
                <c:formatCode>0</c:formatCode>
                <c:ptCount val="2"/>
                <c:pt idx="0">
                  <c:v>181.5</c:v>
                </c:pt>
                <c:pt idx="1">
                  <c:v>181.5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3-44F0-901E-FC9CFA997DCA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KRE!$O$7:$Q$7</c:f>
              <c:numCache>
                <c:formatCode>0</c:formatCode>
                <c:ptCount val="2"/>
                <c:pt idx="0" formatCode="General">
                  <c:v>190.14999999999998</c:v>
                </c:pt>
                <c:pt idx="1">
                  <c:v>210.32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B3-44F0-901E-FC9CFA997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KRE!$O$22:$Q$22</c:f>
              <c:numCache>
                <c:formatCode>0</c:formatCode>
                <c:ptCount val="2"/>
                <c:pt idx="0">
                  <c:v>1432.25</c:v>
                </c:pt>
                <c:pt idx="1">
                  <c:v>126.32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1-4E0C-A831-88FE5C81B9A9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KRE!$O$21:$Q$21</c:f>
              <c:numCache>
                <c:formatCode>0</c:formatCode>
                <c:ptCount val="2"/>
                <c:pt idx="0">
                  <c:v>2400</c:v>
                </c:pt>
                <c:pt idx="1">
                  <c:v>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1-4E0C-A831-88FE5C81B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9E-40D3-A420-DF84503311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9E-40D3-A420-DF845033112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9E-40D3-A420-DF845033112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LULU!$A$22:$A$24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LULU!$B$22:$B$24</c:f>
              <c:numCache>
                <c:formatCode>0%</c:formatCode>
                <c:ptCount val="3"/>
                <c:pt idx="0">
                  <c:v>0.56248184928151523</c:v>
                </c:pt>
                <c:pt idx="1">
                  <c:v>0.3527357199957557</c:v>
                </c:pt>
                <c:pt idx="2">
                  <c:v>8.4782430722729146E-2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9E-40D3-A420-DF8450331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LULU!$A$22:$A$24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LULU!$B$22:$B$24</c:f>
              <c:numCache>
                <c:formatCode>0%</c:formatCode>
                <c:ptCount val="3"/>
                <c:pt idx="0">
                  <c:v>0.56248184928151523</c:v>
                </c:pt>
                <c:pt idx="1">
                  <c:v>0.3527357199957557</c:v>
                </c:pt>
                <c:pt idx="2">
                  <c:v>8.4782430722729146E-2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F7-4930-B80C-46463F81950B}"/>
            </c:ext>
          </c:extLst>
        </c:ser>
        <c:ser>
          <c:idx val="1"/>
          <c:order val="1"/>
          <c:tx>
            <c:v>in fact</c:v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LULU!$A$22:$A$24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LULU!$C$22:$C$24</c:f>
              <c:numCache>
                <c:formatCode>0%</c:formatCode>
                <c:ptCount val="3"/>
                <c:pt idx="0">
                  <c:v>0.42190076939239007</c:v>
                </c:pt>
                <c:pt idx="1">
                  <c:v>0.4088877994443833</c:v>
                </c:pt>
                <c:pt idx="2">
                  <c:v>0.16921206481972473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F7-4930-B80C-46463F819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0164616"/>
        <c:axId val="460166664"/>
      </c:barChart>
      <c:catAx>
        <c:axId val="460164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166664"/>
        <c:crosses val="autoZero"/>
        <c:auto val="1"/>
        <c:lblAlgn val="ctr"/>
        <c:lblOffset val="100"/>
        <c:noMultiLvlLbl val="0"/>
      </c:catAx>
      <c:valAx>
        <c:axId val="46016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164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EF-44D7-8692-32107BC96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EF-44D7-8692-32107BC96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EF-44D7-8692-32107BC968A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STK!$A$21:$A$23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STK!$B$21:$B$23</c:f>
              <c:numCache>
                <c:formatCode>0</c:formatCode>
                <c:ptCount val="3"/>
                <c:pt idx="0">
                  <c:v>12.39814660649097</c:v>
                </c:pt>
                <c:pt idx="1">
                  <c:v>53.124701255624927</c:v>
                </c:pt>
                <c:pt idx="2">
                  <c:v>34.477152137884111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EF-44D7-8692-32107BC96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STK!$O$6:$Y$6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67-4D6D-9C0F-738B71EA18EF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STK!$O$7:$Y$7</c:f>
              <c:numCache>
                <c:formatCode>General</c:formatCode>
                <c:ptCount val="1"/>
                <c:pt idx="0">
                  <c:v>87.789999999999992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67-4D6D-9C0F-738B71EA1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STK!$O$23:$T$23</c:f>
              <c:numCache>
                <c:formatCode>0</c:formatCode>
                <c:ptCount val="1"/>
                <c:pt idx="0">
                  <c:v>2306.86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D4-4777-B0E3-2078F842650B}"/>
            </c:ext>
          </c:extLst>
        </c:ser>
        <c:ser>
          <c:idx val="0"/>
          <c:order val="0"/>
          <c:invertIfNegative val="0"/>
          <c:val>
            <c:numRef>
              <c:f>STK!$O$22:$T$22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D4-4777-B0E3-2078F8426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276-4DE4-BD0E-73384F3589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276-4DE4-BD0E-73384F3589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276-4DE4-BD0E-73384F3589E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LULU!$A$22:$A$24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LULU!$B$22:$B$24</c:f>
              <c:numCache>
                <c:formatCode>0%</c:formatCode>
                <c:ptCount val="3"/>
                <c:pt idx="0">
                  <c:v>0.56248184928151523</c:v>
                </c:pt>
                <c:pt idx="1">
                  <c:v>0.3527357199957557</c:v>
                </c:pt>
                <c:pt idx="2">
                  <c:v>8.4782430722729146E-2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76-4DE4-BD0E-73384F358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LULU!$O$6:$Y$6</c:f>
              <c:numCache>
                <c:formatCode>0</c:formatCode>
                <c:ptCount val="11"/>
                <c:pt idx="0">
                  <c:v>437.87124999999997</c:v>
                </c:pt>
                <c:pt idx="1">
                  <c:v>437.87124999999997</c:v>
                </c:pt>
                <c:pt idx="2">
                  <c:v>437.87124999999997</c:v>
                </c:pt>
                <c:pt idx="3">
                  <c:v>437.87124999999997</c:v>
                </c:pt>
                <c:pt idx="4">
                  <c:v>437.87124999999997</c:v>
                </c:pt>
                <c:pt idx="5">
                  <c:v>437.87124999999997</c:v>
                </c:pt>
                <c:pt idx="6">
                  <c:v>437.87124999999997</c:v>
                </c:pt>
                <c:pt idx="7">
                  <c:v>437.87124999999997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4-42F9-A9A1-D8E3C4F21917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LULU!$O$7:$Y$7</c:f>
              <c:numCache>
                <c:formatCode>0</c:formatCode>
                <c:ptCount val="11"/>
                <c:pt idx="0" formatCode="General">
                  <c:v>94.58</c:v>
                </c:pt>
                <c:pt idx="1">
                  <c:v>362.89</c:v>
                </c:pt>
                <c:pt idx="2">
                  <c:v>293.38</c:v>
                </c:pt>
                <c:pt idx="3">
                  <c:v>391.88</c:v>
                </c:pt>
                <c:pt idx="4">
                  <c:v>375</c:v>
                </c:pt>
                <c:pt idx="5">
                  <c:v>485.8</c:v>
                </c:pt>
                <c:pt idx="6">
                  <c:v>485.08</c:v>
                </c:pt>
                <c:pt idx="7">
                  <c:v>441.48</c:v>
                </c:pt>
                <c:pt idx="8">
                  <c:v>306.47000000000003</c:v>
                </c:pt>
                <c:pt idx="9">
                  <c:v>200.75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0-4F93-AEFC-CE3A166FB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LULU!$O$24:$Y$24</c:f>
              <c:numCache>
                <c:formatCode>0</c:formatCode>
                <c:ptCount val="11"/>
                <c:pt idx="0">
                  <c:v>3313.4279376083191</c:v>
                </c:pt>
                <c:pt idx="2">
                  <c:v>3351.8815251299829</c:v>
                </c:pt>
                <c:pt idx="4">
                  <c:v>1337.52</c:v>
                </c:pt>
                <c:pt idx="5">
                  <c:v>2190.6999999999998</c:v>
                </c:pt>
                <c:pt idx="6">
                  <c:v>427.15999999999997</c:v>
                </c:pt>
                <c:pt idx="7">
                  <c:v>273.39999999999998</c:v>
                </c:pt>
                <c:pt idx="8">
                  <c:v>133.41999999999999</c:v>
                </c:pt>
                <c:pt idx="9">
                  <c:v>1612.4799999999998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6-49CC-B5FC-5BDC0C0ED1FC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LULU!$O$23:$Y$23</c:f>
              <c:numCache>
                <c:formatCode>0</c:formatCode>
                <c:ptCount val="11"/>
                <c:pt idx="0">
                  <c:v>1912.5</c:v>
                </c:pt>
                <c:pt idx="1">
                  <c:v>1912.5</c:v>
                </c:pt>
                <c:pt idx="2">
                  <c:v>1912.5</c:v>
                </c:pt>
                <c:pt idx="3">
                  <c:v>1912.5</c:v>
                </c:pt>
                <c:pt idx="4">
                  <c:v>1912.5</c:v>
                </c:pt>
                <c:pt idx="5">
                  <c:v>1912.5</c:v>
                </c:pt>
                <c:pt idx="6">
                  <c:v>1912.5</c:v>
                </c:pt>
                <c:pt idx="7">
                  <c:v>1912.5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46-49CC-B5FC-5BDC0C0ED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LULU!$A$22:$A$24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LULU!$B$22:$B$24</c:f>
              <c:numCache>
                <c:formatCode>0%</c:formatCode>
                <c:ptCount val="3"/>
                <c:pt idx="0">
                  <c:v>0.56248184928151523</c:v>
                </c:pt>
                <c:pt idx="1">
                  <c:v>0.3527357199957557</c:v>
                </c:pt>
                <c:pt idx="2">
                  <c:v>8.4782430722729146E-2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D8-4E98-A677-7759E43364DB}"/>
            </c:ext>
          </c:extLst>
        </c:ser>
        <c:ser>
          <c:idx val="1"/>
          <c:order val="1"/>
          <c:tx>
            <c:v>in fact</c:v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LULU!$A$22:$A$24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LULU!$C$22:$C$24</c:f>
              <c:numCache>
                <c:formatCode>0%</c:formatCode>
                <c:ptCount val="3"/>
                <c:pt idx="0">
                  <c:v>0.42190076939239007</c:v>
                </c:pt>
                <c:pt idx="1">
                  <c:v>0.4088877994443833</c:v>
                </c:pt>
                <c:pt idx="2">
                  <c:v>0.16921206481972473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D8-4E98-A677-7759E4336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0164616"/>
        <c:axId val="460166664"/>
      </c:barChart>
      <c:catAx>
        <c:axId val="460164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166664"/>
        <c:crosses val="autoZero"/>
        <c:auto val="1"/>
        <c:lblAlgn val="ctr"/>
        <c:lblOffset val="100"/>
        <c:noMultiLvlLbl val="0"/>
      </c:catAx>
      <c:valAx>
        <c:axId val="46016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164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6A-4956-9077-0B9FEAB708E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6A-4956-9077-0B9FEAB708E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6A-4956-9077-0B9FEAB708E1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FRA!$B$22:$B$24</c:f>
              <c:numCache>
                <c:formatCode>0%</c:formatCode>
                <c:ptCount val="3"/>
                <c:pt idx="0">
                  <c:v>0.12734812766426182</c:v>
                </c:pt>
                <c:pt idx="1">
                  <c:v>0.30646532381522795</c:v>
                </c:pt>
                <c:pt idx="2">
                  <c:v>0.58231993691093198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C6A-4956-9077-0B9FEAB70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FRA!$W$6:$AH$6</c:f>
              <c:numCache>
                <c:formatCode>0</c:formatCode>
                <c:ptCount val="12"/>
                <c:pt idx="0">
                  <c:v>226.14750000000001</c:v>
                </c:pt>
                <c:pt idx="1">
                  <c:v>226.14750000000001</c:v>
                </c:pt>
                <c:pt idx="2">
                  <c:v>226.14750000000001</c:v>
                </c:pt>
                <c:pt idx="3">
                  <c:v>226.14750000000001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05-4C89-9B85-8D05861CBA2F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FRA!$W$7:$AH$7</c:f>
              <c:numCache>
                <c:formatCode>0</c:formatCode>
                <c:ptCount val="12"/>
                <c:pt idx="1">
                  <c:v>137.66</c:v>
                </c:pt>
                <c:pt idx="2">
                  <c:v>164.37</c:v>
                </c:pt>
                <c:pt idx="3">
                  <c:v>149.03</c:v>
                </c:pt>
                <c:pt idx="4">
                  <c:v>30.73</c:v>
                </c:pt>
                <c:pt idx="5">
                  <c:v>8.8699999999999992</c:v>
                </c:pt>
                <c:pt idx="6">
                  <c:v>108.45</c:v>
                </c:pt>
                <c:pt idx="7">
                  <c:v>166.7</c:v>
                </c:pt>
                <c:pt idx="8">
                  <c:v>28.52</c:v>
                </c:pt>
                <c:pt idx="9">
                  <c:v>233.3</c:v>
                </c:pt>
                <c:pt idx="10">
                  <c:v>7.5</c:v>
                </c:pt>
                <c:pt idx="11">
                  <c:v>41.07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05-4C89-9B85-8D05861CB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FRA!$W$24:$AG$24</c:f>
              <c:numCache>
                <c:formatCode>0</c:formatCode>
                <c:ptCount val="11"/>
                <c:pt idx="0">
                  <c:v>4667.3</c:v>
                </c:pt>
                <c:pt idx="2">
                  <c:v>153.97999999999999</c:v>
                </c:pt>
                <c:pt idx="3">
                  <c:v>810.4899999999999</c:v>
                </c:pt>
                <c:pt idx="5">
                  <c:v>3151.8399999999997</c:v>
                </c:pt>
                <c:pt idx="7">
                  <c:v>1214.1400000000001</c:v>
                </c:pt>
                <c:pt idx="9">
                  <c:v>1667.43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CB-4270-B8E8-E95F7A0C6B2E}"/>
            </c:ext>
          </c:extLst>
        </c:ser>
        <c:ser>
          <c:idx val="0"/>
          <c:order val="0"/>
          <c:invertIfNegative val="0"/>
          <c:val>
            <c:numRef>
              <c:f>FRA!$W$23:$AG$23</c:f>
              <c:numCache>
                <c:formatCode>0</c:formatCode>
                <c:ptCount val="11"/>
                <c:pt idx="0">
                  <c:v>1500</c:v>
                </c:pt>
                <c:pt idx="1">
                  <c:v>1500</c:v>
                </c:pt>
                <c:pt idx="2">
                  <c:v>1500</c:v>
                </c:pt>
                <c:pt idx="3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CB-4270-B8E8-E95F7A0C6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 costs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FRA!$A$22:$A$24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FRA!$B$22:$B$24</c:f>
              <c:numCache>
                <c:formatCode>0%</c:formatCode>
                <c:ptCount val="3"/>
                <c:pt idx="0">
                  <c:v>0.12734812766426182</c:v>
                </c:pt>
                <c:pt idx="1">
                  <c:v>0.30646532381522795</c:v>
                </c:pt>
                <c:pt idx="2">
                  <c:v>0.58231993691093198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4C-4200-A7C9-04C186BD78E8}"/>
            </c:ext>
          </c:extLst>
        </c:ser>
        <c:ser>
          <c:idx val="1"/>
          <c:order val="1"/>
          <c:tx>
            <c:v>actual costs</c:v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FRA!$A$22:$A$24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FRA!$C$22:$C$24</c:f>
              <c:numCache>
                <c:formatCode>0%</c:formatCode>
                <c:ptCount val="3"/>
                <c:pt idx="0">
                  <c:v>0.25606070626654076</c:v>
                </c:pt>
                <c:pt idx="1">
                  <c:v>0.26499577705907673</c:v>
                </c:pt>
                <c:pt idx="2">
                  <c:v>0.47894351667438245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4C-4200-A7C9-04C186BD7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5726216"/>
        <c:axId val="365732360"/>
      </c:barChart>
      <c:catAx>
        <c:axId val="365726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732360"/>
        <c:crosses val="autoZero"/>
        <c:auto val="1"/>
        <c:lblAlgn val="ctr"/>
        <c:lblOffset val="100"/>
        <c:noMultiLvlLbl val="0"/>
      </c:catAx>
      <c:valAx>
        <c:axId val="365732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726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direct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5C-4621-B968-93FA10CEC9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5C-4621-B968-93FA10CEC9E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5C-4621-B968-93FA10CEC9EA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OLA!$A$22:$A$24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OLA!$B$22:$B$24</c:f>
              <c:numCache>
                <c:formatCode>0%</c:formatCode>
                <c:ptCount val="3"/>
                <c:pt idx="0">
                  <c:v>0.1346741391215355</c:v>
                </c:pt>
                <c:pt idx="1">
                  <c:v>0.28090248753303637</c:v>
                </c:pt>
                <c:pt idx="2">
                  <c:v>0.58442337334542815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5C-4621-B968-93FA10CE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OLA!$O$6:$X$6</c:f>
              <c:numCache>
                <c:formatCode>0</c:formatCode>
                <c:ptCount val="10"/>
                <c:pt idx="0">
                  <c:v>126.61222222222221</c:v>
                </c:pt>
                <c:pt idx="1">
                  <c:v>126.61222222222221</c:v>
                </c:pt>
                <c:pt idx="2">
                  <c:v>126.61222222222221</c:v>
                </c:pt>
                <c:pt idx="3">
                  <c:v>126.61222222222221</c:v>
                </c:pt>
                <c:pt idx="4">
                  <c:v>126.61222222222221</c:v>
                </c:pt>
                <c:pt idx="5">
                  <c:v>126.61222222222221</c:v>
                </c:pt>
                <c:pt idx="6">
                  <c:v>126.61222222222221</c:v>
                </c:pt>
                <c:pt idx="7">
                  <c:v>126.61222222222221</c:v>
                </c:pt>
                <c:pt idx="8">
                  <c:v>126.61222222222221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4-42BB-9855-E9CF95E327F2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OLA!$O$7:$X$7</c:f>
              <c:numCache>
                <c:formatCode>0</c:formatCode>
                <c:ptCount val="10"/>
                <c:pt idx="1">
                  <c:v>200.95999999999998</c:v>
                </c:pt>
                <c:pt idx="2">
                  <c:v>219.28</c:v>
                </c:pt>
                <c:pt idx="3">
                  <c:v>280.98</c:v>
                </c:pt>
                <c:pt idx="4">
                  <c:v>153.81</c:v>
                </c:pt>
                <c:pt idx="5">
                  <c:v>126.55</c:v>
                </c:pt>
                <c:pt idx="6">
                  <c:v>99.08</c:v>
                </c:pt>
                <c:pt idx="7">
                  <c:v>122.1</c:v>
                </c:pt>
                <c:pt idx="8">
                  <c:v>75.7</c:v>
                </c:pt>
                <c:pt idx="9">
                  <c:v>25.7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4-42BB-9855-E9CF95E32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OLA!$A$22:$A$24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OLA!$B$22:$B$24</c:f>
              <c:numCache>
                <c:formatCode>0%</c:formatCode>
                <c:ptCount val="3"/>
                <c:pt idx="0">
                  <c:v>0.1346741391215355</c:v>
                </c:pt>
                <c:pt idx="1">
                  <c:v>0.28090248753303637</c:v>
                </c:pt>
                <c:pt idx="2">
                  <c:v>0.58442337334542815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E1-4D19-8954-ACA7FB810382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OLA!$A$22:$A$24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OLA!$C$22:$C$24</c:f>
              <c:numCache>
                <c:formatCode>0%</c:formatCode>
                <c:ptCount val="3"/>
                <c:pt idx="0">
                  <c:v>0.14689849510952357</c:v>
                </c:pt>
                <c:pt idx="1">
                  <c:v>0.21491485291927845</c:v>
                </c:pt>
                <c:pt idx="2">
                  <c:v>0.63818665197119806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E1-4D19-8954-ACA7FB810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2982152"/>
        <c:axId val="702984200"/>
      </c:barChart>
      <c:catAx>
        <c:axId val="70298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2984200"/>
        <c:crosses val="autoZero"/>
        <c:auto val="1"/>
        <c:lblAlgn val="ctr"/>
        <c:lblOffset val="100"/>
        <c:noMultiLvlLbl val="0"/>
      </c:catAx>
      <c:valAx>
        <c:axId val="702984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2982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3E-4BD4-86C8-E3EE050E544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3E-4BD4-86C8-E3EE050E544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3E-4BD4-86C8-E3EE050E544A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MAT!$A$23:$A$25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MAT!$B$23:$B$25</c:f>
              <c:numCache>
                <c:formatCode>0%</c:formatCode>
                <c:ptCount val="3"/>
                <c:pt idx="0">
                  <c:v>0.75108774253479749</c:v>
                </c:pt>
                <c:pt idx="1">
                  <c:v>0.23763430551559014</c:v>
                </c:pt>
                <c:pt idx="2">
                  <c:v>1.1277951949612265E-2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B3E-4BD4-86C8-E3EE050E5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MAT!$V$6:$AE$6</c:f>
              <c:numCache>
                <c:formatCode>0</c:formatCode>
                <c:ptCount val="10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C-4C93-B664-64B1FC3C2D9C}"/>
            </c:ext>
          </c:extLst>
        </c:ser>
        <c:ser>
          <c:idx val="1"/>
          <c:order val="1"/>
          <c:invertIfNegative val="0"/>
          <c:val>
            <c:numRef>
              <c:f>MAT!$V$7:$AE$7</c:f>
              <c:numCache>
                <c:formatCode>0</c:formatCode>
                <c:ptCount val="10"/>
                <c:pt idx="0" formatCode="General">
                  <c:v>156.19999999999999</c:v>
                </c:pt>
                <c:pt idx="1">
                  <c:v>146.38999999999999</c:v>
                </c:pt>
                <c:pt idx="2">
                  <c:v>17.450000000000003</c:v>
                </c:pt>
                <c:pt idx="5">
                  <c:v>26.5</c:v>
                </c:pt>
                <c:pt idx="8">
                  <c:v>117</c:v>
                </c:pt>
                <c:pt idx="9">
                  <c:v>72.72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A6-4D86-9CB0-8CD9ADDBB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MAT!$V$25:$AE$25</c:f>
              <c:numCache>
                <c:formatCode>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3A5B-442D-A108-48D5389AF6C9}"/>
            </c:ext>
          </c:extLst>
        </c:ser>
        <c:ser>
          <c:idx val="0"/>
          <c:order val="0"/>
          <c:invertIfNegative val="0"/>
          <c:val>
            <c:numRef>
              <c:f>MAT!$V$24:$AE$24</c:f>
              <c:numCache>
                <c:formatCode>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3A5B-442D-A108-48D5389AF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MAT!$A$23:$A$25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MAT!$B$23:$B$25</c:f>
              <c:numCache>
                <c:formatCode>0%</c:formatCode>
                <c:ptCount val="3"/>
                <c:pt idx="0">
                  <c:v>0.75108774253479749</c:v>
                </c:pt>
                <c:pt idx="1">
                  <c:v>0.23763430551559014</c:v>
                </c:pt>
                <c:pt idx="2">
                  <c:v>1.1277951949612265E-2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E4E4A0F1-4FB2-4005-AB5B-6F7A1FB5D729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MAT!$A$23:$A$25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MAT!$C$23:$C$25</c:f>
              <c:numCache>
                <c:formatCode>0%</c:formatCode>
                <c:ptCount val="3"/>
                <c:pt idx="0">
                  <c:v>0.35707629020408277</c:v>
                </c:pt>
                <c:pt idx="1">
                  <c:v>0.47380999345357039</c:v>
                </c:pt>
                <c:pt idx="2">
                  <c:v>0.16911514569379291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4D5A7AEA-9F83-4A73-8FB7-27FCF8DBA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30"/>
        <c:axId val="766972423"/>
        <c:axId val="766974471"/>
      </c:barChart>
      <c:catAx>
        <c:axId val="766972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4471"/>
        <c:crosses val="autoZero"/>
        <c:auto val="1"/>
        <c:lblAlgn val="ctr"/>
        <c:lblOffset val="100"/>
        <c:noMultiLvlLbl val="0"/>
      </c:catAx>
      <c:valAx>
        <c:axId val="766974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972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22C-4375-8257-A721AE653D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2C-4375-8257-A721AE653D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2C-4375-8257-A721AE653DF2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LEI!$A$23:$A$25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LEI!$B$23:$B$25</c:f>
              <c:numCache>
                <c:formatCode>0%</c:formatCode>
                <c:ptCount val="3"/>
                <c:pt idx="0">
                  <c:v>0.60034157411740618</c:v>
                </c:pt>
                <c:pt idx="1">
                  <c:v>0.29767915353885738</c:v>
                </c:pt>
                <c:pt idx="2">
                  <c:v>0.10197927234373634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2C-4375-8257-A721AE653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LEI!$M$6:$W$6</c:f>
              <c:numCache>
                <c:formatCode>0</c:formatCode>
                <c:ptCount val="5"/>
                <c:pt idx="0">
                  <c:v>168</c:v>
                </c:pt>
                <c:pt idx="1">
                  <c:v>168</c:v>
                </c:pt>
                <c:pt idx="2">
                  <c:v>168</c:v>
                </c:pt>
                <c:pt idx="3">
                  <c:v>168</c:v>
                </c:pt>
                <c:pt idx="4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8-457E-B196-86D30A5EB4DC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LEI!$M$7:$W$7</c:f>
              <c:numCache>
                <c:formatCode>0</c:formatCode>
                <c:ptCount val="5"/>
                <c:pt idx="0" formatCode="General">
                  <c:v>300.75</c:v>
                </c:pt>
                <c:pt idx="1">
                  <c:v>232.63</c:v>
                </c:pt>
                <c:pt idx="2">
                  <c:v>199.22</c:v>
                </c:pt>
                <c:pt idx="3">
                  <c:v>50.72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F8-457E-B196-86D30A5EB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LEI!$M$25:$W$25</c:f>
              <c:numCache>
                <c:formatCode>0</c:formatCode>
                <c:ptCount val="5"/>
                <c:pt idx="0">
                  <c:v>5493.15</c:v>
                </c:pt>
                <c:pt idx="2">
                  <c:v>452.59</c:v>
                </c:pt>
                <c:pt idx="3">
                  <c:v>7.15</c:v>
                </c:pt>
                <c:pt idx="4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8-493D-81DB-7CD5276EBB29}"/>
            </c:ext>
          </c:extLst>
        </c:ser>
        <c:ser>
          <c:idx val="0"/>
          <c:order val="0"/>
          <c:invertIfNegative val="0"/>
          <c:val>
            <c:numRef>
              <c:f>LEI!$M$24:$W$24</c:f>
              <c:numCache>
                <c:formatCode>0</c:formatCode>
                <c:ptCount val="5"/>
                <c:pt idx="0">
                  <c:v>1040</c:v>
                </c:pt>
                <c:pt idx="1">
                  <c:v>1040</c:v>
                </c:pt>
                <c:pt idx="2">
                  <c:v>1040</c:v>
                </c:pt>
                <c:pt idx="3">
                  <c:v>1300</c:v>
                </c:pt>
                <c:pt idx="4">
                  <c:v>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D8-493D-81DB-7CD5276EB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forecasts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LEI!$A$23:$A$25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LEI!$B$23:$B$25</c:f>
              <c:numCache>
                <c:formatCode>0%</c:formatCode>
                <c:ptCount val="3"/>
                <c:pt idx="0">
                  <c:v>0.60034157411740618</c:v>
                </c:pt>
                <c:pt idx="1">
                  <c:v>0.29767915353885738</c:v>
                </c:pt>
                <c:pt idx="2">
                  <c:v>0.10197927234373634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AB-4560-9A31-48054CEFB12C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LEI!$A$23:$A$25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LEI!$C$23:$C$25</c:f>
              <c:numCache>
                <c:formatCode>0%</c:formatCode>
                <c:ptCount val="3"/>
                <c:pt idx="0">
                  <c:v>0.17364027643055549</c:v>
                </c:pt>
                <c:pt idx="1">
                  <c:v>0.3163040462213651</c:v>
                </c:pt>
                <c:pt idx="2">
                  <c:v>0.51490132004351852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AB-4560-9A31-48054CEFB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6347399"/>
        <c:axId val="356349447"/>
      </c:barChart>
      <c:catAx>
        <c:axId val="356347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349447"/>
        <c:crosses val="autoZero"/>
        <c:auto val="1"/>
        <c:lblAlgn val="ctr"/>
        <c:lblOffset val="100"/>
        <c:noMultiLvlLbl val="0"/>
      </c:catAx>
      <c:valAx>
        <c:axId val="356349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347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64-420B-8A5B-A94B838EA8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64-420B-8A5B-A94B838EA8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64-420B-8A5B-A94B838EA8E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STO!$A$23:$A$25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STO!$B$23:$B$25</c:f>
              <c:numCache>
                <c:formatCode>0%</c:formatCode>
                <c:ptCount val="3"/>
                <c:pt idx="0">
                  <c:v>0.90638606507680186</c:v>
                </c:pt>
                <c:pt idx="1">
                  <c:v>8.9554666730220334E-2</c:v>
                </c:pt>
                <c:pt idx="2">
                  <c:v>4.0592681929778138E-3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64-420B-8A5B-A94B838EA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cat>
            <c:str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STO!$O$6:$Z$6</c15:sqref>
                  </c15:fullRef>
                </c:ext>
              </c:extLst>
              <c:f>STO!$O$6:$Y$6</c:f>
              <c:numCache>
                <c:formatCode>0</c:formatCode>
                <c:ptCount val="3"/>
                <c:pt idx="0">
                  <c:v>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5-4380-88AF-3F9308AA2A08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cat>
            <c:str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STO!$O$7:$Z$7</c15:sqref>
                  </c15:fullRef>
                </c:ext>
              </c:extLst>
              <c:f>STO!$O$7:$Y$7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A3E5-4380-88AF-3F9308AA2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cat>
            <c:str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STO!$O$24:$Z$24</c15:sqref>
                  </c15:fullRef>
                </c:ext>
              </c:extLst>
              <c:f>STO!$O$24:$Y$24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282E-4F4B-9A14-BEF656E9D410}"/>
            </c:ext>
          </c:extLst>
        </c:ser>
        <c:ser>
          <c:idx val="0"/>
          <c:order val="0"/>
          <c:tx>
            <c:v>planned</c:v>
          </c:tx>
          <c:invertIfNegative val="0"/>
          <c:cat>
            <c:str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STO!$O$23:$Z$23</c15:sqref>
                  </c15:fullRef>
                </c:ext>
              </c:extLst>
              <c:f>STO!$O$23:$Y$23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E-4F4B-9A14-BEF656E9D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layout>
        <c:manualLayout>
          <c:xMode val="edge"/>
          <c:yMode val="edge"/>
          <c:x val="0.40740966754155733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STO!$A$23:$A$25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STO!$B$23:$B$25</c:f>
              <c:numCache>
                <c:formatCode>0%</c:formatCode>
                <c:ptCount val="3"/>
                <c:pt idx="0">
                  <c:v>0.90638606507680186</c:v>
                </c:pt>
                <c:pt idx="1">
                  <c:v>8.9554666730220334E-2</c:v>
                </c:pt>
                <c:pt idx="2">
                  <c:v>4.0592681929778138E-3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C8-4C80-9DF6-055B18AD6E87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STO!$A$23:$A$25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STO!$C$23:$C$25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3-53C8-4C80-9DF6-055B18AD6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5806343"/>
        <c:axId val="499868167"/>
      </c:barChart>
      <c:catAx>
        <c:axId val="425806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868167"/>
        <c:crosses val="autoZero"/>
        <c:auto val="1"/>
        <c:lblAlgn val="ctr"/>
        <c:lblOffset val="100"/>
        <c:noMultiLvlLbl val="0"/>
      </c:catAx>
      <c:valAx>
        <c:axId val="499868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806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costs</a:t>
            </a:r>
          </a:p>
        </c:rich>
      </c:tx>
      <c:layout>
        <c:manualLayout>
          <c:xMode val="edge"/>
          <c:yMode val="edge"/>
          <c:x val="0.10031820460644665"/>
          <c:y val="4.878048780487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234-4685-9F9A-45B4A90907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234-4685-9F9A-45B4A90907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234-4685-9F9A-45B4A90907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WDON!$A$24:$A$26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WDON!$B$24:$B$26</c:f>
              <c:numCache>
                <c:formatCode>0%</c:formatCode>
                <c:ptCount val="3"/>
                <c:pt idx="0">
                  <c:v>0.2797271517943441</c:v>
                </c:pt>
                <c:pt idx="1">
                  <c:v>0.5792289332446966</c:v>
                </c:pt>
                <c:pt idx="2">
                  <c:v>0.14104391496095928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34-4685-9F9A-45B4A9090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'worked hours'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WDON!$M$6:$W$6</c:f>
              <c:numCache>
                <c:formatCode>0</c:formatCode>
                <c:ptCount val="2"/>
                <c:pt idx="0">
                  <c:v>248.435</c:v>
                </c:pt>
                <c:pt idx="1">
                  <c:v>248.435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FF-4017-9A86-526876038DD0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WDON!$M$7:$W$7</c:f>
              <c:numCache>
                <c:formatCode>0</c:formatCode>
                <c:ptCount val="2"/>
                <c:pt idx="0" formatCode="General">
                  <c:v>173.03</c:v>
                </c:pt>
                <c:pt idx="1">
                  <c:v>225.28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FF-4017-9A86-526876038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-30"/>
        <c:axId val="922274152"/>
        <c:axId val="1732117928"/>
      </c:barChart>
      <c:catAx>
        <c:axId val="92227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2117928"/>
        <c:crosses val="autoZero"/>
        <c:auto val="1"/>
        <c:lblAlgn val="ctr"/>
        <c:lblOffset val="100"/>
        <c:noMultiLvlLbl val="0"/>
      </c:catAx>
      <c:valAx>
        <c:axId val="1732117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27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349074617600817"/>
          <c:y val="0.46029707180457191"/>
          <c:w val="0.15650925382399181"/>
          <c:h val="0.251398407601284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'travel and living costs'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WDON!$M$24:$Q$24</c:f>
              <c:numCache>
                <c:formatCode>0</c:formatCode>
                <c:ptCount val="2"/>
                <c:pt idx="0">
                  <c:v>2740</c:v>
                </c:pt>
                <c:pt idx="1">
                  <c:v>2740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9D0-4835-B7EB-90A98957532E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WDON!$M$25:$Q$25</c:f>
              <c:numCache>
                <c:formatCode>0</c:formatCode>
                <c:ptCount val="2"/>
                <c:pt idx="0">
                  <c:v>1115</c:v>
                </c:pt>
                <c:pt idx="1">
                  <c:v>1983.3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59D0-4835-B7EB-90A989575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axId val="40677144"/>
        <c:axId val="182458584"/>
      </c:barChart>
      <c:valAx>
        <c:axId val="182458584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extTo"/>
        <c:crossAx val="40677144"/>
        <c:crosses val="max"/>
        <c:crossBetween val="between"/>
      </c:valAx>
      <c:catAx>
        <c:axId val="4067714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458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WDON!$A$24:$A$26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WDON!$B$24:$B$26</c:f>
              <c:numCache>
                <c:formatCode>0%</c:formatCode>
                <c:ptCount val="3"/>
                <c:pt idx="0">
                  <c:v>0.2797271517943441</c:v>
                </c:pt>
                <c:pt idx="1">
                  <c:v>0.5792289332446966</c:v>
                </c:pt>
                <c:pt idx="2">
                  <c:v>0.14104391496095928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A-4D84-A8B7-E76DE25D15D4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WDON!$A$24:$A$26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WDON!$C$24:$C$26</c:f>
              <c:numCache>
                <c:formatCode>0%</c:formatCode>
                <c:ptCount val="3"/>
                <c:pt idx="0">
                  <c:v>0.15949044110767804</c:v>
                </c:pt>
                <c:pt idx="1">
                  <c:v>0.35418322187312368</c:v>
                </c:pt>
                <c:pt idx="2">
                  <c:v>0.48632663308846436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9A-4D84-A8B7-E76DE25D1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3374216"/>
        <c:axId val="1153409032"/>
      </c:barChart>
      <c:catAx>
        <c:axId val="1153374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3409032"/>
        <c:crosses val="autoZero"/>
        <c:auto val="1"/>
        <c:lblAlgn val="ctr"/>
        <c:lblOffset val="100"/>
        <c:noMultiLvlLbl val="0"/>
      </c:catAx>
      <c:valAx>
        <c:axId val="115340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3374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4F-42D9-BE8B-9FC3315D04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4F-42D9-BE8B-9FC3315D04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4F-42D9-BE8B-9FC3315D04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KLA!$A$22:$A$24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KLA!$B$22:$B$24</c:f>
              <c:numCache>
                <c:formatCode>0%</c:formatCode>
                <c:ptCount val="3"/>
                <c:pt idx="0">
                  <c:v>0.19311996827114819</c:v>
                </c:pt>
                <c:pt idx="1">
                  <c:v>0.66719532954993044</c:v>
                </c:pt>
                <c:pt idx="2">
                  <c:v>0.13968470217892129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4F-42D9-BE8B-9FC3315D0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KLA!$A$22:$A$24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KLA!$B$22:$B$24</c:f>
              <c:numCache>
                <c:formatCode>0%</c:formatCode>
                <c:ptCount val="3"/>
                <c:pt idx="0">
                  <c:v>0.19311996827114819</c:v>
                </c:pt>
                <c:pt idx="1">
                  <c:v>0.66719532954993044</c:v>
                </c:pt>
                <c:pt idx="2">
                  <c:v>0.13968470217892129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3B-4815-9061-409FA2DECDAF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KLA!$A$22:$A$24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KLA!$C$22:$C$24</c:f>
              <c:numCache>
                <c:formatCode>0%</c:formatCode>
                <c:ptCount val="3"/>
                <c:pt idx="0">
                  <c:v>0.14701497410605283</c:v>
                </c:pt>
                <c:pt idx="1">
                  <c:v>0.36469015255237169</c:v>
                </c:pt>
                <c:pt idx="2">
                  <c:v>0.4882948733415754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3B-4815-9061-409FA2DEC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3665288"/>
        <c:axId val="1153385480"/>
      </c:barChart>
      <c:catAx>
        <c:axId val="113366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3385480"/>
        <c:crosses val="autoZero"/>
        <c:auto val="1"/>
        <c:lblAlgn val="ctr"/>
        <c:lblOffset val="100"/>
        <c:noMultiLvlLbl val="0"/>
      </c:catAx>
      <c:valAx>
        <c:axId val="1153385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366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48-44EB-BE9A-E1507D3DA5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48-44EB-BE9A-E1507D3DA5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48-44EB-BE9A-E1507D3DA5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GRA!$B$23:$B$25</c:f>
              <c:numCache>
                <c:formatCode>0%</c:formatCode>
                <c:ptCount val="3"/>
                <c:pt idx="0">
                  <c:v>0.47874196834461197</c:v>
                </c:pt>
                <c:pt idx="1">
                  <c:v>0.39795499729439643</c:v>
                </c:pt>
                <c:pt idx="2">
                  <c:v>0.12330303436099169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48-44EB-BE9A-E1507D3DA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GRA!$Q$6:$Z$6</c:f>
              <c:numCache>
                <c:formatCode>0</c:formatCode>
                <c:ptCount val="3"/>
                <c:pt idx="0">
                  <c:v>252</c:v>
                </c:pt>
                <c:pt idx="1">
                  <c:v>252</c:v>
                </c:pt>
                <c:pt idx="2" formatCode="General">
                  <c:v>-14.74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6D-47E6-86FF-5D2572A3ADE2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GRA!$Q$7:$Z$7</c:f>
              <c:numCache>
                <c:formatCode>General</c:formatCode>
                <c:ptCount val="3"/>
                <c:pt idx="0">
                  <c:v>140</c:v>
                </c:pt>
                <c:pt idx="1">
                  <c:v>164.6</c:v>
                </c:pt>
                <c:pt idx="2">
                  <c:v>123.7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6D-47E6-86FF-5D2572A3A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7937816"/>
        <c:axId val="517935296"/>
      </c:barChart>
      <c:catAx>
        <c:axId val="517937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935296"/>
        <c:crosses val="autoZero"/>
        <c:auto val="1"/>
        <c:lblAlgn val="ctr"/>
        <c:lblOffset val="100"/>
        <c:noMultiLvlLbl val="0"/>
      </c:catAx>
      <c:valAx>
        <c:axId val="51793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937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GRA!$Q$23:$Z$23</c:f>
              <c:numCache>
                <c:formatCode>0</c:formatCode>
                <c:ptCount val="3"/>
                <c:pt idx="0">
                  <c:v>2150</c:v>
                </c:pt>
                <c:pt idx="1">
                  <c:v>2150</c:v>
                </c:pt>
                <c:pt idx="2">
                  <c:v>2150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07-4778-87F7-CFB15805B3FD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GRA!$Q$24:$Z$24</c:f>
              <c:numCache>
                <c:formatCode>0</c:formatCode>
                <c:ptCount val="3"/>
                <c:pt idx="0">
                  <c:v>2479.98</c:v>
                </c:pt>
                <c:pt idx="1">
                  <c:v>124.21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07-4778-87F7-CFB15805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6061944"/>
        <c:axId val="686056544"/>
      </c:barChart>
      <c:catAx>
        <c:axId val="686061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6056544"/>
        <c:crosses val="autoZero"/>
        <c:auto val="1"/>
        <c:lblAlgn val="ctr"/>
        <c:lblOffset val="100"/>
        <c:noMultiLvlLbl val="0"/>
      </c:catAx>
      <c:valAx>
        <c:axId val="68605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6061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GRA!$A$23:$A$25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GRA!$B$23:$B$25</c:f>
              <c:numCache>
                <c:formatCode>0%</c:formatCode>
                <c:ptCount val="3"/>
                <c:pt idx="0">
                  <c:v>0.47874196834461197</c:v>
                </c:pt>
                <c:pt idx="1">
                  <c:v>0.39795499729439643</c:v>
                </c:pt>
                <c:pt idx="2">
                  <c:v>0.12330303436099169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26-4E3A-9FCC-B6F9E1F51CF5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GRA!$A$23:$A$25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GRA!$C$23:$C$25</c:f>
              <c:numCache>
                <c:formatCode>0%</c:formatCode>
                <c:ptCount val="3"/>
                <c:pt idx="0">
                  <c:v>0.13293724240841295</c:v>
                </c:pt>
                <c:pt idx="1">
                  <c:v>0.33530936356940788</c:v>
                </c:pt>
                <c:pt idx="2">
                  <c:v>0.17725083638149122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26-4E3A-9FCC-B6F9E1F51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6177799"/>
        <c:axId val="887412232"/>
      </c:barChart>
      <c:catAx>
        <c:axId val="1326177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412232"/>
        <c:crosses val="autoZero"/>
        <c:auto val="1"/>
        <c:lblAlgn val="ctr"/>
        <c:lblOffset val="100"/>
        <c:noMultiLvlLbl val="0"/>
      </c:catAx>
      <c:valAx>
        <c:axId val="887412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177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CD-4AED-96A8-DDD428BC07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CD-4AED-96A8-DDD428BC07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CD-4AED-96A8-DDD428BC07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BRA!$A$23:$A$25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BRA!$B$23:$B$25</c:f>
              <c:numCache>
                <c:formatCode>0%</c:formatCode>
                <c:ptCount val="3"/>
                <c:pt idx="0">
                  <c:v>0.47559193255764232</c:v>
                </c:pt>
                <c:pt idx="1">
                  <c:v>0.42226428697132046</c:v>
                </c:pt>
                <c:pt idx="2">
                  <c:v>0.10214378047103737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CD-4AED-96A8-DDD428BC0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execution</a:t>
            </a:r>
            <a:r>
              <a:rPr lang="lv-LV" baseline="0"/>
              <a:t> of contract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BRA!#REF!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0F-4FD6-A535-54DCB270C562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BRA!#REF!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0F-4FD6-A535-54DCB270C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3154368"/>
        <c:axId val="1283161256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BRA!#REF!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0F-4FD6-A535-54DCB270C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154368"/>
        <c:axId val="1283161256"/>
      </c:lineChart>
      <c:catAx>
        <c:axId val="1283154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161256"/>
        <c:crosses val="autoZero"/>
        <c:auto val="1"/>
        <c:lblAlgn val="ctr"/>
        <c:lblOffset val="100"/>
        <c:noMultiLvlLbl val="0"/>
      </c:catAx>
      <c:valAx>
        <c:axId val="1283161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15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BRA!$O$6:$T$6</c:f>
              <c:numCache>
                <c:formatCode>0</c:formatCode>
                <c:ptCount val="5"/>
                <c:pt idx="0">
                  <c:v>373.505</c:v>
                </c:pt>
                <c:pt idx="1">
                  <c:v>373.505</c:v>
                </c:pt>
                <c:pt idx="2">
                  <c:v>373.505</c:v>
                </c:pt>
                <c:pt idx="3">
                  <c:v>373.505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0-4648-AEB6-59D9563EF14F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BRA!$O$7:$T$7</c:f>
              <c:numCache>
                <c:formatCode>0</c:formatCode>
                <c:ptCount val="5"/>
                <c:pt idx="0" formatCode="General">
                  <c:v>230.57</c:v>
                </c:pt>
                <c:pt idx="1">
                  <c:v>390.56000000000006</c:v>
                </c:pt>
                <c:pt idx="2">
                  <c:v>273.15999999999997</c:v>
                </c:pt>
                <c:pt idx="3">
                  <c:v>342.2</c:v>
                </c:pt>
                <c:pt idx="4">
                  <c:v>208.23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0-4648-AEB6-59D9563EF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1016488"/>
        <c:axId val="1281017144"/>
      </c:barChart>
      <c:catAx>
        <c:axId val="1281016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017144"/>
        <c:crosses val="autoZero"/>
        <c:auto val="1"/>
        <c:lblAlgn val="ctr"/>
        <c:lblOffset val="100"/>
        <c:noMultiLvlLbl val="0"/>
      </c:catAx>
      <c:valAx>
        <c:axId val="1281017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016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</a:t>
            </a:r>
            <a:r>
              <a:rPr lang="lv-LV" baseline="0"/>
              <a:t>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BRA!$O$23:$T$23</c:f>
              <c:numCache>
                <c:formatCode>0</c:formatCode>
                <c:ptCount val="5"/>
                <c:pt idx="0">
                  <c:v>2025</c:v>
                </c:pt>
                <c:pt idx="1">
                  <c:v>2025</c:v>
                </c:pt>
                <c:pt idx="2">
                  <c:v>2025</c:v>
                </c:pt>
                <c:pt idx="3">
                  <c:v>2025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90-4379-89F4-34688C49AE3A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BRA!$O$24:$T$24</c:f>
              <c:numCache>
                <c:formatCode>0</c:formatCode>
                <c:ptCount val="5"/>
                <c:pt idx="0">
                  <c:v>5835.7699999999995</c:v>
                </c:pt>
                <c:pt idx="1">
                  <c:v>185.45999999999998</c:v>
                </c:pt>
                <c:pt idx="2">
                  <c:v>235.21</c:v>
                </c:pt>
                <c:pt idx="3">
                  <c:v>1804.18</c:v>
                </c:pt>
                <c:pt idx="4">
                  <c:v>131.88999999999999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90-4379-89F4-34688C49A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8318992"/>
        <c:axId val="998319648"/>
      </c:barChart>
      <c:catAx>
        <c:axId val="998318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319648"/>
        <c:crosses val="autoZero"/>
        <c:auto val="1"/>
        <c:lblAlgn val="ctr"/>
        <c:lblOffset val="100"/>
        <c:noMultiLvlLbl val="0"/>
      </c:catAx>
      <c:valAx>
        <c:axId val="99831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31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BRA!$A$23:$A$25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BRA!$B$23:$B$25</c:f>
              <c:numCache>
                <c:formatCode>0%</c:formatCode>
                <c:ptCount val="3"/>
                <c:pt idx="0">
                  <c:v>0.47559193255764232</c:v>
                </c:pt>
                <c:pt idx="1">
                  <c:v>0.42226428697132046</c:v>
                </c:pt>
                <c:pt idx="2">
                  <c:v>0.10214378047103737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8-48DD-A3F0-EB4B77FA8DDD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BRA!$A$23:$A$25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BRA!$C$23:$C$25</c:f>
              <c:numCache>
                <c:formatCode>0%</c:formatCode>
                <c:ptCount val="3"/>
                <c:pt idx="0">
                  <c:v>0.18414041769311179</c:v>
                </c:pt>
                <c:pt idx="1">
                  <c:v>0.31834470646715252</c:v>
                </c:pt>
                <c:pt idx="2">
                  <c:v>0.36148076632435977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38-48DD-A3F0-EB4B77FA8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7694984"/>
        <c:axId val="797697032"/>
      </c:barChart>
      <c:catAx>
        <c:axId val="797694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697032"/>
        <c:crosses val="autoZero"/>
        <c:auto val="1"/>
        <c:lblAlgn val="ctr"/>
        <c:lblOffset val="100"/>
        <c:noMultiLvlLbl val="0"/>
      </c:catAx>
      <c:valAx>
        <c:axId val="797697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694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80-4C37-8CEC-443C62089F7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80-4C37-8CEC-443C62089F7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80-4C37-8CEC-443C62089F7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VIL!$A$22:$A$24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VIL!$B$22:$B$24</c:f>
              <c:numCache>
                <c:formatCode>0%</c:formatCode>
                <c:ptCount val="3"/>
                <c:pt idx="0">
                  <c:v>0.38544415437937851</c:v>
                </c:pt>
                <c:pt idx="1">
                  <c:v>0.48208603182976617</c:v>
                </c:pt>
                <c:pt idx="2">
                  <c:v>0.13246981379085529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80-4C37-8CEC-443C62089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worked hours</a:t>
            </a:r>
          </a:p>
        </c:rich>
      </c:tx>
      <c:layout>
        <c:manualLayout>
          <c:xMode val="edge"/>
          <c:yMode val="edge"/>
          <c:x val="0.41157633420822404"/>
          <c:y val="2.4305555555555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VIL!$M$6:$X$6</c:f>
              <c:numCache>
                <c:formatCode>0</c:formatCode>
                <c:ptCount val="4"/>
                <c:pt idx="0">
                  <c:v>281</c:v>
                </c:pt>
                <c:pt idx="1">
                  <c:v>281</c:v>
                </c:pt>
                <c:pt idx="2">
                  <c:v>34.5</c:v>
                </c:pt>
                <c:pt idx="3">
                  <c:v>597.08000000000004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FE-4F0C-A177-1583B43AE139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solidFill>
                <a:srgbClr val="92D050"/>
              </a:solidFill>
              <a:prstDash val="solid"/>
            </a:ln>
            <a:effectLst/>
          </c:spPr>
          <c:invertIfNegative val="0"/>
          <c:val>
            <c:numRef>
              <c:f>VIL!$M$7:$X$7</c:f>
              <c:numCache>
                <c:formatCode>0</c:formatCode>
                <c:ptCount val="4"/>
                <c:pt idx="0" formatCode="General">
                  <c:v>181</c:v>
                </c:pt>
                <c:pt idx="1">
                  <c:v>305.56</c:v>
                </c:pt>
                <c:pt idx="2">
                  <c:v>35.620000000000005</c:v>
                </c:pt>
                <c:pt idx="3" formatCode="General">
                  <c:v>522.18000000000006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E-4F0C-A177-1583B43AE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4314376"/>
        <c:axId val="424316424"/>
      </c:barChart>
      <c:catAx>
        <c:axId val="424314376"/>
        <c:scaling>
          <c:orientation val="minMax"/>
        </c:scaling>
        <c:delete val="1"/>
        <c:axPos val="b"/>
        <c:majorTickMark val="none"/>
        <c:minorTickMark val="none"/>
        <c:tickLblPos val="nextTo"/>
        <c:crossAx val="424316424"/>
        <c:crosses val="autoZero"/>
        <c:auto val="1"/>
        <c:lblAlgn val="ctr"/>
        <c:lblOffset val="100"/>
        <c:noMultiLvlLbl val="0"/>
      </c:catAx>
      <c:valAx>
        <c:axId val="42431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314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travel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VIL!$M$23:$X$23</c:f>
              <c:numCache>
                <c:formatCode>0</c:formatCode>
                <c:ptCount val="4"/>
                <c:pt idx="0">
                  <c:v>2440</c:v>
                </c:pt>
                <c:pt idx="1">
                  <c:v>2440</c:v>
                </c:pt>
                <c:pt idx="3">
                  <c:v>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D8-40C1-9F01-FCA54455A02A}"/>
            </c:ext>
          </c:extLst>
        </c:ser>
        <c:ser>
          <c:idx val="1"/>
          <c:order val="1"/>
          <c:tx>
            <c:v>in fact</c:v>
          </c:tx>
          <c:spPr>
            <a:solidFill>
              <a:srgbClr val="A9D08E"/>
            </a:solidFill>
            <a:ln>
              <a:solidFill>
                <a:srgbClr val="A9D08E"/>
              </a:solidFill>
              <a:prstDash val="solid"/>
            </a:ln>
            <a:effectLst/>
          </c:spPr>
          <c:invertIfNegative val="0"/>
          <c:val>
            <c:numRef>
              <c:f>VIL!$M$24:$X$24</c:f>
              <c:numCache>
                <c:formatCode>0</c:formatCode>
                <c:ptCount val="4"/>
                <c:pt idx="0">
                  <c:v>3557.1800000000003</c:v>
                </c:pt>
                <c:pt idx="1">
                  <c:v>448.37</c:v>
                </c:pt>
                <c:pt idx="2">
                  <c:v>110</c:v>
                </c:pt>
                <c:pt idx="3" formatCode="General">
                  <c:v>4115.55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D8-40C1-9F01-FCA54455A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835336"/>
        <c:axId val="204837384"/>
      </c:barChart>
      <c:catAx>
        <c:axId val="204835336"/>
        <c:scaling>
          <c:orientation val="minMax"/>
        </c:scaling>
        <c:delete val="1"/>
        <c:axPos val="b"/>
        <c:majorTickMark val="none"/>
        <c:minorTickMark val="none"/>
        <c:tickLblPos val="nextTo"/>
        <c:crossAx val="204837384"/>
        <c:crosses val="autoZero"/>
        <c:auto val="1"/>
        <c:lblAlgn val="ctr"/>
        <c:lblOffset val="100"/>
        <c:noMultiLvlLbl val="0"/>
      </c:catAx>
      <c:valAx>
        <c:axId val="204837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35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VIL!$A$22:$A$24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VIL!$B$22:$B$24</c:f>
              <c:numCache>
                <c:formatCode>0%</c:formatCode>
                <c:ptCount val="3"/>
                <c:pt idx="0">
                  <c:v>0.38544415437937851</c:v>
                </c:pt>
                <c:pt idx="1">
                  <c:v>0.48208603182976617</c:v>
                </c:pt>
                <c:pt idx="2">
                  <c:v>0.13246981379085529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5E-4E1D-93A2-DF15E8A60D61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VIL!$A$22:$A$24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VIL!$C$22:$C$24</c:f>
              <c:numCache>
                <c:formatCode>0%</c:formatCode>
                <c:ptCount val="3"/>
                <c:pt idx="0">
                  <c:v>0.14857406998445466</c:v>
                </c:pt>
                <c:pt idx="1">
                  <c:v>0.36539213075427496</c:v>
                </c:pt>
                <c:pt idx="2">
                  <c:v>0.48603379926127038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5E-4E1D-93A2-DF15E8A60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9838984"/>
        <c:axId val="844964871"/>
      </c:barChart>
      <c:catAx>
        <c:axId val="169983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4964871"/>
        <c:crosses val="autoZero"/>
        <c:auto val="1"/>
        <c:lblAlgn val="ctr"/>
        <c:lblOffset val="100"/>
        <c:noMultiLvlLbl val="0"/>
      </c:catAx>
      <c:valAx>
        <c:axId val="844964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983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C7-42DD-B458-5CAA590DD9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C7-42DD-B458-5CAA590DD9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C7-42DD-B458-5CAA590DD9F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KOB!$A$22:$A$24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KOB!$B$22:$B$24</c:f>
              <c:numCache>
                <c:formatCode>0%</c:formatCode>
                <c:ptCount val="3"/>
                <c:pt idx="0">
                  <c:v>0.26131300568267668</c:v>
                </c:pt>
                <c:pt idx="1">
                  <c:v>0.56834557261779339</c:v>
                </c:pt>
                <c:pt idx="2">
                  <c:v>0.1703414216995299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C7-42DD-B458-5CAA590DD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worked hours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KOB!$M$6:$X$6</c:f>
              <c:numCache>
                <c:formatCode>0</c:formatCode>
                <c:ptCount val="5"/>
                <c:pt idx="0">
                  <c:v>214</c:v>
                </c:pt>
                <c:pt idx="1">
                  <c:v>214</c:v>
                </c:pt>
                <c:pt idx="2">
                  <c:v>214</c:v>
                </c:pt>
                <c:pt idx="3">
                  <c:v>98.39</c:v>
                </c:pt>
                <c:pt idx="4">
                  <c:v>741.05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D9D-41C4-91BE-F4489983BE52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KOB!$M$7:$X$7</c:f>
              <c:numCache>
                <c:formatCode>0</c:formatCode>
                <c:ptCount val="5"/>
                <c:pt idx="0" formatCode="General">
                  <c:v>207.60999999999999</c:v>
                </c:pt>
                <c:pt idx="1">
                  <c:v>291.45999999999998</c:v>
                </c:pt>
                <c:pt idx="2">
                  <c:v>310.72000000000003</c:v>
                </c:pt>
                <c:pt idx="3">
                  <c:v>244.46999999999997</c:v>
                </c:pt>
                <c:pt idx="4">
                  <c:v>1054.26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D9D-41C4-91BE-F4489983B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739399"/>
        <c:axId val="79745543"/>
      </c:barChart>
      <c:catAx>
        <c:axId val="79739399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79745543"/>
        <c:crosses val="autoZero"/>
        <c:auto val="1"/>
        <c:lblAlgn val="ctr"/>
        <c:lblOffset val="100"/>
        <c:noMultiLvlLbl val="0"/>
      </c:catAx>
      <c:valAx>
        <c:axId val="79745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39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KOB!$M$22:$X$22</c:f>
              <c:numCache>
                <c:formatCode>0</c:formatCode>
                <c:ptCount val="5"/>
                <c:pt idx="0">
                  <c:v>1333.3333333333333</c:v>
                </c:pt>
                <c:pt idx="1">
                  <c:v>1333.3333333333333</c:v>
                </c:pt>
                <c:pt idx="2">
                  <c:v>1333.3333333333333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235-4CED-96BB-87F051B7B97E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KOB!$M$23:$X$23</c:f>
              <c:numCache>
                <c:formatCode>0</c:formatCode>
                <c:ptCount val="5"/>
                <c:pt idx="0">
                  <c:v>6870.33</c:v>
                </c:pt>
                <c:pt idx="2">
                  <c:v>1092.3</c:v>
                </c:pt>
                <c:pt idx="3">
                  <c:v>726.67000000000007</c:v>
                </c:pt>
                <c:pt idx="4">
                  <c:v>6870.33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235-4CED-96BB-87F051B7B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697927"/>
        <c:axId val="1081955848"/>
      </c:barChart>
      <c:catAx>
        <c:axId val="7969792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1955848"/>
        <c:crosses val="autoZero"/>
        <c:auto val="1"/>
        <c:lblAlgn val="ctr"/>
        <c:lblOffset val="100"/>
        <c:noMultiLvlLbl val="0"/>
      </c:catAx>
      <c:valAx>
        <c:axId val="1081955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697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layout>
        <c:manualLayout>
          <c:xMode val="edge"/>
          <c:yMode val="edge"/>
          <c:x val="0.4115763342082240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KOB!$A$22:$A$24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KOB!$B$22:$B$24</c:f>
              <c:numCache>
                <c:formatCode>0%</c:formatCode>
                <c:ptCount val="3"/>
                <c:pt idx="0">
                  <c:v>0.26131300568267668</c:v>
                </c:pt>
                <c:pt idx="1">
                  <c:v>0.56834557261779339</c:v>
                </c:pt>
                <c:pt idx="2">
                  <c:v>0.1703414216995299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A5-4399-9401-556F77329989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KOB!$A$22:$A$24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KOB!$C$22:$C$24</c:f>
              <c:numCache>
                <c:formatCode>0%</c:formatCode>
                <c:ptCount val="3"/>
                <c:pt idx="0">
                  <c:v>0.20856936548928684</c:v>
                </c:pt>
                <c:pt idx="1">
                  <c:v>0.39146900584523331</c:v>
                </c:pt>
                <c:pt idx="2">
                  <c:v>0.39808934009444003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A5-4399-9401-556F7732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9578120"/>
        <c:axId val="1879580168"/>
      </c:barChart>
      <c:catAx>
        <c:axId val="1879578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9580168"/>
        <c:crosses val="autoZero"/>
        <c:auto val="1"/>
        <c:lblAlgn val="ctr"/>
        <c:lblOffset val="100"/>
        <c:noMultiLvlLbl val="0"/>
      </c:catAx>
      <c:valAx>
        <c:axId val="1879580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9578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120-4047-A12F-976F49A577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120-4047-A12F-976F49A577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120-4047-A12F-976F49A5773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SWR!$A$23:$A$25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SWR!$B$23:$B$25</c:f>
              <c:numCache>
                <c:formatCode>0%</c:formatCode>
                <c:ptCount val="3"/>
                <c:pt idx="0">
                  <c:v>0.127897223200997</c:v>
                </c:pt>
                <c:pt idx="1">
                  <c:v>0.56705291440684324</c:v>
                </c:pt>
                <c:pt idx="2">
                  <c:v>0.30504986239215987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120-4047-A12F-976F49A57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layout>
        <c:manualLayout>
          <c:xMode val="edge"/>
          <c:yMode val="edge"/>
          <c:x val="0.21831233595800525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SWR!$N$6:$R$6</c:f>
              <c:numCache>
                <c:formatCode>0</c:formatCode>
                <c:ptCount val="1"/>
                <c:pt idx="0">
                  <c:v>97.25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4E3-B4DA-413AD3E524D1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SWR!$N$7:$R$7</c:f>
              <c:numCache>
                <c:formatCode>General</c:formatCode>
                <c:ptCount val="1"/>
                <c:pt idx="0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4E3-B4DA-413AD3E52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5987584"/>
        <c:axId val="465986272"/>
      </c:barChart>
      <c:catAx>
        <c:axId val="4659875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986272"/>
        <c:crosses val="autoZero"/>
        <c:auto val="1"/>
        <c:lblAlgn val="ctr"/>
        <c:lblOffset val="100"/>
        <c:noMultiLvlLbl val="0"/>
      </c:catAx>
      <c:valAx>
        <c:axId val="46598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98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</a:t>
            </a:r>
            <a:r>
              <a:rPr lang="lv-LV" baseline="0"/>
              <a:t>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SWR!$N$24:$R$24</c:f>
              <c:numCache>
                <c:formatCode>0</c:formatCode>
                <c:ptCount val="1"/>
                <c:pt idx="0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8-4EE8-8353-D4868D277479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SWR!$N$25:$R$25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48-4EE8-8353-D4868D277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553480"/>
        <c:axId val="696554792"/>
      </c:barChart>
      <c:catAx>
        <c:axId val="6965534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54792"/>
        <c:crosses val="autoZero"/>
        <c:auto val="1"/>
        <c:lblAlgn val="ctr"/>
        <c:lblOffset val="100"/>
        <c:noMultiLvlLbl val="0"/>
      </c:catAx>
      <c:valAx>
        <c:axId val="69655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53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costs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SWR!$A$23:$A$25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SWR!$B$23:$B$25</c:f>
              <c:numCache>
                <c:formatCode>0%</c:formatCode>
                <c:ptCount val="3"/>
                <c:pt idx="0">
                  <c:v>0.127897223200997</c:v>
                </c:pt>
                <c:pt idx="1">
                  <c:v>0.56705291440684324</c:v>
                </c:pt>
                <c:pt idx="2">
                  <c:v>0.30504986239215987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1B-4881-83FD-449B3D8E774D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solidFill>
                <a:srgbClr val="0070BF"/>
              </a:solidFill>
              <a:prstDash val="solid"/>
            </a:ln>
            <a:effectLst/>
          </c:spPr>
          <c:invertIfNegative val="0"/>
          <c:cat>
            <c:strRef>
              <c:f>SWR!$A$23:$A$25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SWR!$C$23:$C$25</c:f>
              <c:numCache>
                <c:formatCode>0%</c:formatCode>
                <c:ptCount val="3"/>
                <c:pt idx="0">
                  <c:v>3.5721982017505656E-2</c:v>
                </c:pt>
                <c:pt idx="1">
                  <c:v>0.35671546668745219</c:v>
                </c:pt>
                <c:pt idx="2">
                  <c:v>0.60756255129504222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1B-4881-83FD-449B3D8E7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3248008"/>
        <c:axId val="253250056"/>
      </c:barChart>
      <c:catAx>
        <c:axId val="25324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250056"/>
        <c:crosses val="autoZero"/>
        <c:auto val="1"/>
        <c:lblAlgn val="ctr"/>
        <c:lblOffset val="100"/>
        <c:noMultiLvlLbl val="0"/>
      </c:catAx>
      <c:valAx>
        <c:axId val="25325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248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costs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083492941760656"/>
          <c:y val="0.16616656026104848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DE-4F22-8A9B-7985C5417C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DE-4F22-8A9B-7985C5417C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DE-4F22-8A9B-7985C5417C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'CALZ MOS'!$A$23:$A$25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'CALZ MOS'!$B$23:$B$25</c:f>
              <c:numCache>
                <c:formatCode>0%</c:formatCode>
                <c:ptCount val="3"/>
                <c:pt idx="0">
                  <c:v>0.22868646140883186</c:v>
                </c:pt>
                <c:pt idx="1">
                  <c:v>0.58063612537375464</c:v>
                </c:pt>
                <c:pt idx="2">
                  <c:v>0.19067741321741344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DE-4F22-8A9B-7985C5417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 and living costs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'CALZ MOS'!$O$23:$W$23</c:f>
              <c:numCache>
                <c:formatCode>0</c:formatCode>
                <c:ptCount val="3"/>
                <c:pt idx="0">
                  <c:v>3100</c:v>
                </c:pt>
                <c:pt idx="1">
                  <c:v>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60-4D71-98FF-97BBE29D5BDD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'CALZ MOS'!$O$24:$W$24</c:f>
              <c:numCache>
                <c:formatCode>0</c:formatCode>
                <c:ptCount val="3"/>
                <c:pt idx="0">
                  <c:v>2362.44</c:v>
                </c:pt>
                <c:pt idx="1">
                  <c:v>2386.19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60-4D71-98FF-97BBE29D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5768840"/>
        <c:axId val="1215765560"/>
      </c:barChart>
      <c:catAx>
        <c:axId val="12157688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5765560"/>
        <c:crosses val="autoZero"/>
        <c:auto val="1"/>
        <c:lblAlgn val="ctr"/>
        <c:lblOffset val="100"/>
        <c:noMultiLvlLbl val="0"/>
      </c:catAx>
      <c:valAx>
        <c:axId val="1215765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5768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'CALZ MOS'!$A$23:$A$25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'CALZ MOS'!$B$23:$B$25</c:f>
              <c:numCache>
                <c:formatCode>0%</c:formatCode>
                <c:ptCount val="3"/>
                <c:pt idx="0">
                  <c:v>0.22868646140883186</c:v>
                </c:pt>
                <c:pt idx="1">
                  <c:v>0.58063612537375464</c:v>
                </c:pt>
                <c:pt idx="2">
                  <c:v>0.19067741321741344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5E-4EA0-B977-47D382025DB1}"/>
            </c:ext>
          </c:extLst>
        </c:ser>
        <c:ser>
          <c:idx val="1"/>
          <c:order val="1"/>
          <c:tx>
            <c:v>planned costs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cat>
            <c:strRef>
              <c:f>'CALZ MOS'!$A$23:$A$25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'CALZ MOS'!$C$23:$C$25</c:f>
              <c:numCache>
                <c:formatCode>0%</c:formatCode>
                <c:ptCount val="3"/>
                <c:pt idx="0">
                  <c:v>0.27241606055741469</c:v>
                </c:pt>
                <c:pt idx="1">
                  <c:v>0.35829824279769323</c:v>
                </c:pt>
                <c:pt idx="2">
                  <c:v>0.36928569664489197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5E-4EA0-B977-47D382025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2138503"/>
        <c:axId val="838928391"/>
      </c:barChart>
      <c:catAx>
        <c:axId val="532138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928391"/>
        <c:crosses val="autoZero"/>
        <c:auto val="1"/>
        <c:lblAlgn val="ctr"/>
        <c:lblOffset val="100"/>
        <c:noMultiLvlLbl val="0"/>
      </c:catAx>
      <c:valAx>
        <c:axId val="838928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138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worked hours</a:t>
            </a:r>
          </a:p>
        </c:rich>
      </c:tx>
      <c:layout>
        <c:manualLayout>
          <c:xMode val="edge"/>
          <c:yMode val="edge"/>
          <c:x val="0.40740966754155733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'CALZ MOS'!$O$6:$Q$6</c:f>
              <c:numCache>
                <c:formatCode>0</c:formatCode>
                <c:ptCount val="3"/>
                <c:pt idx="0">
                  <c:v>268.5</c:v>
                </c:pt>
                <c:pt idx="1">
                  <c:v>268.5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99-4DFA-A846-3833552CD4CC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'CALZ MOS'!$O$7:$Q$7</c:f>
              <c:numCache>
                <c:formatCode>0</c:formatCode>
                <c:ptCount val="3"/>
                <c:pt idx="0" formatCode="General">
                  <c:v>471</c:v>
                </c:pt>
                <c:pt idx="1">
                  <c:v>243.85</c:v>
                </c:pt>
                <c:pt idx="2">
                  <c:v>83.100000000000009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99-4DFA-A846-3833552CD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6458375"/>
        <c:axId val="1971612680"/>
      </c:barChart>
      <c:catAx>
        <c:axId val="64645837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1612680"/>
        <c:crosses val="autoZero"/>
        <c:auto val="1"/>
        <c:lblAlgn val="ctr"/>
        <c:lblOffset val="100"/>
        <c:noMultiLvlLbl val="0"/>
      </c:catAx>
      <c:valAx>
        <c:axId val="197161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458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execution</a:t>
            </a:r>
            <a:r>
              <a:rPr lang="lv-LV" baseline="0"/>
              <a:t> of contracts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'INT GAL'!#REF!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17-48D9-981F-04A563550FEC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'INT GAL'!#REF!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17-48D9-981F-04A563550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6558400"/>
        <c:axId val="696560040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'INT GAL'!#REF!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7-48D9-981F-04A563550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6558400"/>
        <c:axId val="696560040"/>
      </c:lineChart>
      <c:catAx>
        <c:axId val="6965584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60040"/>
        <c:crosses val="autoZero"/>
        <c:auto val="1"/>
        <c:lblAlgn val="ctr"/>
        <c:lblOffset val="100"/>
        <c:noMultiLvlLbl val="0"/>
      </c:catAx>
      <c:valAx>
        <c:axId val="696560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5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'INT GAL'!$O$6:$W$6</c:f>
              <c:numCache>
                <c:formatCode>0</c:formatCode>
                <c:ptCount val="3"/>
                <c:pt idx="0">
                  <c:v>255.5</c:v>
                </c:pt>
                <c:pt idx="1">
                  <c:v>255.5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7-4C0B-957C-AA60B7957DE2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'INT GAL'!$O$7:$W$7</c:f>
              <c:numCache>
                <c:formatCode>0</c:formatCode>
                <c:ptCount val="3"/>
                <c:pt idx="0" formatCode="General">
                  <c:v>411.46</c:v>
                </c:pt>
                <c:pt idx="1">
                  <c:v>183.92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F7-4C0B-957C-AA60B7957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563648"/>
        <c:axId val="696564632"/>
      </c:barChart>
      <c:catAx>
        <c:axId val="69656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64632"/>
        <c:crosses val="autoZero"/>
        <c:auto val="1"/>
        <c:lblAlgn val="ctr"/>
        <c:lblOffset val="100"/>
        <c:noMultiLvlLbl val="0"/>
      </c:catAx>
      <c:valAx>
        <c:axId val="696564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6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'INT GAL'!$O$25:$W$25</c:f>
              <c:numCache>
                <c:formatCode>0</c:formatCode>
                <c:ptCount val="3"/>
                <c:pt idx="0">
                  <c:v>4150</c:v>
                </c:pt>
                <c:pt idx="1">
                  <c:v>4150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7A-4548-9954-50081DAD67B1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'INT GAL'!$O$26:$W$26</c:f>
              <c:numCache>
                <c:formatCode>0</c:formatCode>
                <c:ptCount val="3"/>
                <c:pt idx="0">
                  <c:v>3281.52</c:v>
                </c:pt>
                <c:pt idx="1">
                  <c:v>389.94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7A-4548-9954-50081DAD6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6121848"/>
        <c:axId val="1276127096"/>
      </c:barChart>
      <c:catAx>
        <c:axId val="12761218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127096"/>
        <c:crosses val="autoZero"/>
        <c:auto val="1"/>
        <c:lblAlgn val="ctr"/>
        <c:lblOffset val="100"/>
        <c:noMultiLvlLbl val="0"/>
      </c:catAx>
      <c:valAx>
        <c:axId val="1276127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12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forecast accuracy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'INT GAL'!$A$22:$A$24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'INT GAL'!$C$22:$C$24</c:f>
              <c:numCache>
                <c:formatCode>0%</c:formatCode>
                <c:ptCount val="3"/>
                <c:pt idx="0">
                  <c:v>0.24065742285351674</c:v>
                </c:pt>
                <c:pt idx="1">
                  <c:v>0.35590221097182284</c:v>
                </c:pt>
                <c:pt idx="2">
                  <c:v>0.43449822672039429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A-4B3B-9759-DA8173D5A8E7}"/>
            </c:ext>
          </c:extLst>
        </c:ser>
        <c:ser>
          <c:idx val="1"/>
          <c:order val="1"/>
          <c:tx>
            <c:v>actual costs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'INT GAL'!$A$22:$A$24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'INT GAL'!$B$22:$B$24</c:f>
              <c:numCache>
                <c:formatCode>0%</c:formatCode>
                <c:ptCount val="3"/>
                <c:pt idx="0">
                  <c:v>0.30183601540241423</c:v>
                </c:pt>
                <c:pt idx="1">
                  <c:v>0.55495760265266281</c:v>
                </c:pt>
                <c:pt idx="2">
                  <c:v>0.14320638194492313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CA-4B3B-9759-DA8173D5A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0162439"/>
        <c:axId val="2077483527"/>
      </c:barChart>
      <c:catAx>
        <c:axId val="1750162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483527"/>
        <c:crosses val="autoZero"/>
        <c:auto val="1"/>
        <c:lblAlgn val="ctr"/>
        <c:lblOffset val="100"/>
        <c:noMultiLvlLbl val="0"/>
      </c:catAx>
      <c:valAx>
        <c:axId val="2077483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162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allocation</a:t>
            </a:r>
          </a:p>
        </c:rich>
      </c:tx>
      <c:layout>
        <c:manualLayout>
          <c:xMode val="edge"/>
          <c:yMode val="edge"/>
          <c:x val="0.34595489123181639"/>
          <c:y val="3.38164251207729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F0-4BE8-8078-5DCA552A13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F0-4BE8-8078-5DCA552A13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F0-4BE8-8078-5DCA552A13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'INT GAL'!$A$22:$A$24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'INT GAL'!$B$22:$B$24</c:f>
              <c:numCache>
                <c:formatCode>0%</c:formatCode>
                <c:ptCount val="3"/>
                <c:pt idx="0">
                  <c:v>0.30183601540241423</c:v>
                </c:pt>
                <c:pt idx="1">
                  <c:v>0.55495760265266281</c:v>
                </c:pt>
                <c:pt idx="2">
                  <c:v>0.14320638194492313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7C-4150-A67D-FBB00414B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chart" Target="../charts/chart2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4" Type="http://schemas.openxmlformats.org/officeDocument/2006/relationships/chart" Target="../charts/chart3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4" Type="http://schemas.openxmlformats.org/officeDocument/2006/relationships/chart" Target="../charts/chart59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2.xml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4" Type="http://schemas.openxmlformats.org/officeDocument/2006/relationships/chart" Target="../charts/chart63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4" Type="http://schemas.openxmlformats.org/officeDocument/2006/relationships/chart" Target="../charts/chart70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3.xml"/><Relationship Id="rId2" Type="http://schemas.openxmlformats.org/officeDocument/2006/relationships/chart" Target="../charts/chart72.xml"/><Relationship Id="rId1" Type="http://schemas.openxmlformats.org/officeDocument/2006/relationships/chart" Target="../charts/chart71.xml"/><Relationship Id="rId4" Type="http://schemas.openxmlformats.org/officeDocument/2006/relationships/chart" Target="../charts/chart74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4" Type="http://schemas.openxmlformats.org/officeDocument/2006/relationships/chart" Target="../charts/chart78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4" Type="http://schemas.openxmlformats.org/officeDocument/2006/relationships/chart" Target="../charts/chart82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7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4" Type="http://schemas.openxmlformats.org/officeDocument/2006/relationships/chart" Target="../charts/chart88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1.xml"/><Relationship Id="rId2" Type="http://schemas.openxmlformats.org/officeDocument/2006/relationships/chart" Target="../charts/chart90.xml"/><Relationship Id="rId1" Type="http://schemas.openxmlformats.org/officeDocument/2006/relationships/chart" Target="../charts/chart89.xml"/><Relationship Id="rId5" Type="http://schemas.openxmlformats.org/officeDocument/2006/relationships/chart" Target="../charts/chart93.xml"/><Relationship Id="rId4" Type="http://schemas.openxmlformats.org/officeDocument/2006/relationships/chart" Target="../charts/chart92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Relationship Id="rId4" Type="http://schemas.openxmlformats.org/officeDocument/2006/relationships/chart" Target="../charts/chart97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0.xml"/><Relationship Id="rId2" Type="http://schemas.openxmlformats.org/officeDocument/2006/relationships/chart" Target="../charts/chart99.xml"/><Relationship Id="rId1" Type="http://schemas.openxmlformats.org/officeDocument/2006/relationships/chart" Target="../charts/chart98.xml"/><Relationship Id="rId4" Type="http://schemas.openxmlformats.org/officeDocument/2006/relationships/chart" Target="../charts/chart101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4.xml"/><Relationship Id="rId2" Type="http://schemas.openxmlformats.org/officeDocument/2006/relationships/chart" Target="../charts/chart103.xml"/><Relationship Id="rId1" Type="http://schemas.openxmlformats.org/officeDocument/2006/relationships/chart" Target="../charts/chart102.xml"/><Relationship Id="rId4" Type="http://schemas.openxmlformats.org/officeDocument/2006/relationships/chart" Target="../charts/chart105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8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4" Type="http://schemas.openxmlformats.org/officeDocument/2006/relationships/chart" Target="../charts/chart109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2.xml"/><Relationship Id="rId2" Type="http://schemas.openxmlformats.org/officeDocument/2006/relationships/chart" Target="../charts/chart111.xml"/><Relationship Id="rId1" Type="http://schemas.openxmlformats.org/officeDocument/2006/relationships/chart" Target="../charts/chart110.xml"/><Relationship Id="rId5" Type="http://schemas.openxmlformats.org/officeDocument/2006/relationships/chart" Target="../charts/chart114.xml"/><Relationship Id="rId4" Type="http://schemas.openxmlformats.org/officeDocument/2006/relationships/chart" Target="../charts/chart1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11</xdr:col>
      <xdr:colOff>657225</xdr:colOff>
      <xdr:row>29</xdr:row>
      <xdr:rowOff>38100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7B053CF9-9EB6-4029-91F1-CC244A55F8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23812</xdr:colOff>
      <xdr:row>23</xdr:row>
      <xdr:rowOff>38101</xdr:rowOff>
    </xdr:from>
    <xdr:to>
      <xdr:col>25</xdr:col>
      <xdr:colOff>9525</xdr:colOff>
      <xdr:row>30</xdr:row>
      <xdr:rowOff>142875</xdr:rowOff>
    </xdr:to>
    <xdr:graphicFrame macro="">
      <xdr:nvGraphicFramePr>
        <xdr:cNvPr id="17" name="Diagramma 7">
          <a:extLst>
            <a:ext uri="{FF2B5EF4-FFF2-40B4-BE49-F238E27FC236}">
              <a16:creationId xmlns:a16="http://schemas.microsoft.com/office/drawing/2014/main" id="{460531BD-A107-0623-C8ED-D7946C6191B9}"/>
            </a:ext>
            <a:ext uri="{147F2762-F138-4A5C-976F-8EAC2B608ADB}">
              <a16:predDERef xmlns:a16="http://schemas.microsoft.com/office/drawing/2014/main" pred="{7B053CF9-9EB6-4029-91F1-CC244A55F8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95250</xdr:colOff>
      <xdr:row>56</xdr:row>
      <xdr:rowOff>161925</xdr:rowOff>
    </xdr:from>
    <xdr:to>
      <xdr:col>11</xdr:col>
      <xdr:colOff>657225</xdr:colOff>
      <xdr:row>68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82A932-322E-43DC-ABF0-C54530F79A57}"/>
            </a:ext>
            <a:ext uri="{147F2762-F138-4A5C-976F-8EAC2B608ADB}">
              <a16:predDERef xmlns:a16="http://schemas.microsoft.com/office/drawing/2014/main" pred="{460531BD-A107-0623-C8ED-D7946C619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23812</xdr:colOff>
      <xdr:row>62</xdr:row>
      <xdr:rowOff>38101</xdr:rowOff>
    </xdr:from>
    <xdr:to>
      <xdr:col>25</xdr:col>
      <xdr:colOff>9525</xdr:colOff>
      <xdr:row>69</xdr:row>
      <xdr:rowOff>142875</xdr:rowOff>
    </xdr:to>
    <xdr:graphicFrame macro="">
      <xdr:nvGraphicFramePr>
        <xdr:cNvPr id="3" name="Diagramma 7">
          <a:extLst>
            <a:ext uri="{FF2B5EF4-FFF2-40B4-BE49-F238E27FC236}">
              <a16:creationId xmlns:a16="http://schemas.microsoft.com/office/drawing/2014/main" id="{D97F2DA1-7C6B-4C0C-B403-5FDC820113C0}"/>
            </a:ext>
            <a:ext uri="{147F2762-F138-4A5C-976F-8EAC2B608ADB}">
              <a16:predDERef xmlns:a16="http://schemas.microsoft.com/office/drawing/2014/main" pred="{F282A932-322E-43DC-ABF0-C54530F79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95250</xdr:colOff>
      <xdr:row>121</xdr:row>
      <xdr:rowOff>161925</xdr:rowOff>
    </xdr:from>
    <xdr:to>
      <xdr:col>11</xdr:col>
      <xdr:colOff>657225</xdr:colOff>
      <xdr:row>133</xdr:row>
      <xdr:rowOff>38100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4FC79F18-C0AF-418E-A1DB-750B807E2948}"/>
            </a:ext>
            <a:ext uri="{147F2762-F138-4A5C-976F-8EAC2B608ADB}">
              <a16:predDERef xmlns:a16="http://schemas.microsoft.com/office/drawing/2014/main" pred="{D97F2DA1-7C6B-4C0C-B403-5FDC82011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23812</xdr:colOff>
      <xdr:row>127</xdr:row>
      <xdr:rowOff>38101</xdr:rowOff>
    </xdr:from>
    <xdr:to>
      <xdr:col>25</xdr:col>
      <xdr:colOff>9525</xdr:colOff>
      <xdr:row>134</xdr:row>
      <xdr:rowOff>142875</xdr:rowOff>
    </xdr:to>
    <xdr:graphicFrame macro="">
      <xdr:nvGraphicFramePr>
        <xdr:cNvPr id="5" name="Diagramma 7">
          <a:extLst>
            <a:ext uri="{FF2B5EF4-FFF2-40B4-BE49-F238E27FC236}">
              <a16:creationId xmlns:a16="http://schemas.microsoft.com/office/drawing/2014/main" id="{E19FBD65-F220-46B3-BDFC-3584FC3C5732}"/>
            </a:ext>
            <a:ext uri="{147F2762-F138-4A5C-976F-8EAC2B608ADB}">
              <a16:predDERef xmlns:a16="http://schemas.microsoft.com/office/drawing/2014/main" pred="{4FC79F18-C0AF-418E-A1DB-750B807E2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7</xdr:row>
      <xdr:rowOff>85725</xdr:rowOff>
    </xdr:from>
    <xdr:to>
      <xdr:col>23</xdr:col>
      <xdr:colOff>0</xdr:colOff>
      <xdr:row>16</xdr:row>
      <xdr:rowOff>85725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941BBE97-9A26-4CF4-A8B1-7A482F662103}"/>
            </a:ext>
            <a:ext uri="{147F2762-F138-4A5C-976F-8EAC2B608ADB}">
              <a16:predDERef xmlns:a16="http://schemas.microsoft.com/office/drawing/2014/main" pred="{C5C651B9-01FF-429E-B43E-7F228DC0D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23</xdr:row>
      <xdr:rowOff>123825</xdr:rowOff>
    </xdr:from>
    <xdr:to>
      <xdr:col>22</xdr:col>
      <xdr:colOff>228600</xdr:colOff>
      <xdr:row>33</xdr:row>
      <xdr:rowOff>38100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72E7FE70-FA6B-481A-B5C1-644C976607AC}"/>
            </a:ext>
            <a:ext uri="{147F2762-F138-4A5C-976F-8EAC2B608ADB}">
              <a16:predDERef xmlns:a16="http://schemas.microsoft.com/office/drawing/2014/main" pred="{941BBE97-9A26-4CF4-A8B1-7A482F662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8</xdr:col>
      <xdr:colOff>0</xdr:colOff>
      <xdr:row>34</xdr:row>
      <xdr:rowOff>57150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5CCC58E1-2AEA-42DA-92A3-FBF224CBAC44}"/>
            </a:ext>
            <a:ext uri="{147F2762-F138-4A5C-976F-8EAC2B608ADB}">
              <a16:predDERef xmlns:a16="http://schemas.microsoft.com/office/drawing/2014/main" pred="{72E7FE70-FA6B-481A-B5C1-644C976607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8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31B315C6-FAD3-4D00-A2EF-9DA752B5132D}"/>
            </a:ext>
            <a:ext uri="{147F2762-F138-4A5C-976F-8EAC2B608ADB}">
              <a16:predDERef xmlns:a16="http://schemas.microsoft.com/office/drawing/2014/main" pred="{5CCC58E1-2AEA-42DA-92A3-FBF224CBA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7</xdr:row>
      <xdr:rowOff>85725</xdr:rowOff>
    </xdr:from>
    <xdr:to>
      <xdr:col>23</xdr:col>
      <xdr:colOff>0</xdr:colOff>
      <xdr:row>16</xdr:row>
      <xdr:rowOff>85725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EF861AA1-7F97-4ED8-A343-D0C1D6E12B48}"/>
            </a:ext>
            <a:ext uri="{147F2762-F138-4A5C-976F-8EAC2B608ADB}">
              <a16:predDERef xmlns:a16="http://schemas.microsoft.com/office/drawing/2014/main" pred="{C7F44130-35A6-4BD0-95F3-8B13BC2D8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266700</xdr:colOff>
      <xdr:row>23</xdr:row>
      <xdr:rowOff>123825</xdr:rowOff>
    </xdr:from>
    <xdr:to>
      <xdr:col>22</xdr:col>
      <xdr:colOff>228600</xdr:colOff>
      <xdr:row>33</xdr:row>
      <xdr:rowOff>38100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33363467-C4A2-42BD-9AE3-39BE15F42797}"/>
            </a:ext>
            <a:ext uri="{147F2762-F138-4A5C-976F-8EAC2B608ADB}">
              <a16:predDERef xmlns:a16="http://schemas.microsoft.com/office/drawing/2014/main" pred="{EF861AA1-7F97-4ED8-A343-D0C1D6E12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8</xdr:col>
      <xdr:colOff>0</xdr:colOff>
      <xdr:row>34</xdr:row>
      <xdr:rowOff>57150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FEF5738A-DAEB-48C3-893D-39BF23DB88EA}"/>
            </a:ext>
            <a:ext uri="{147F2762-F138-4A5C-976F-8EAC2B608ADB}">
              <a16:predDERef xmlns:a16="http://schemas.microsoft.com/office/drawing/2014/main" pred="{33363467-C4A2-42BD-9AE3-39BE15F4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10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A1BA6CF1-2AB9-41BF-BEF6-8DC6691B992F}"/>
            </a:ext>
            <a:ext uri="{147F2762-F138-4A5C-976F-8EAC2B608ADB}">
              <a16:predDERef xmlns:a16="http://schemas.microsoft.com/office/drawing/2014/main" pred="{FEF5738A-DAEB-48C3-893D-39BF23DB8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7</xdr:row>
      <xdr:rowOff>85725</xdr:rowOff>
    </xdr:from>
    <xdr:to>
      <xdr:col>25</xdr:col>
      <xdr:colOff>0</xdr:colOff>
      <xdr:row>16</xdr:row>
      <xdr:rowOff>85725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6502DB1B-931B-4529-A8D8-D90B78B5BEEF}"/>
            </a:ext>
            <a:ext uri="{147F2762-F138-4A5C-976F-8EAC2B608ADB}">
              <a16:predDERef xmlns:a16="http://schemas.microsoft.com/office/drawing/2014/main" pred="{16518AC6-2879-46B3-9FB4-AB11957112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24</xdr:row>
      <xdr:rowOff>0</xdr:rowOff>
    </xdr:from>
    <xdr:to>
      <xdr:col>24</xdr:col>
      <xdr:colOff>381000</xdr:colOff>
      <xdr:row>33</xdr:row>
      <xdr:rowOff>104775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DB7C4A5E-FA20-4E80-83D1-3D7E33E1AE79}"/>
            </a:ext>
            <a:ext uri="{147F2762-F138-4A5C-976F-8EAC2B608ADB}">
              <a16:predDERef xmlns:a16="http://schemas.microsoft.com/office/drawing/2014/main" pred="{6502DB1B-931B-4529-A8D8-D90B78B5B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9</xdr:col>
      <xdr:colOff>638175</xdr:colOff>
      <xdr:row>34</xdr:row>
      <xdr:rowOff>57150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8A74A997-9C94-4407-BC53-0EF1B035D02F}"/>
            </a:ext>
            <a:ext uri="{147F2762-F138-4A5C-976F-8EAC2B608ADB}">
              <a16:predDERef xmlns:a16="http://schemas.microsoft.com/office/drawing/2014/main" pred="{DB7C4A5E-FA20-4E80-83D1-3D7E33E1A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10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87BD2359-AF52-4958-B505-127873072425}"/>
            </a:ext>
            <a:ext uri="{147F2762-F138-4A5C-976F-8EAC2B608ADB}">
              <a16:predDERef xmlns:a16="http://schemas.microsoft.com/office/drawing/2014/main" pred="{8A74A997-9C94-4407-BC53-0EF1B035D0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7</xdr:row>
      <xdr:rowOff>85725</xdr:rowOff>
    </xdr:from>
    <xdr:to>
      <xdr:col>23</xdr:col>
      <xdr:colOff>0</xdr:colOff>
      <xdr:row>16</xdr:row>
      <xdr:rowOff>85725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47AC5D1D-B29B-4954-9433-7334B70849E4}"/>
            </a:ext>
            <a:ext uri="{147F2762-F138-4A5C-976F-8EAC2B608ADB}">
              <a16:predDERef xmlns:a16="http://schemas.microsoft.com/office/drawing/2014/main" pred="{2BDF0EEA-0A94-4979-8076-F7FFC2CFD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142875</xdr:colOff>
      <xdr:row>24</xdr:row>
      <xdr:rowOff>0</xdr:rowOff>
    </xdr:from>
    <xdr:to>
      <xdr:col>22</xdr:col>
      <xdr:colOff>381000</xdr:colOff>
      <xdr:row>33</xdr:row>
      <xdr:rowOff>104775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42637E3-A29A-49AB-9F02-A3EABCAFC37B}"/>
            </a:ext>
            <a:ext uri="{147F2762-F138-4A5C-976F-8EAC2B608ADB}">
              <a16:predDERef xmlns:a16="http://schemas.microsoft.com/office/drawing/2014/main" pred="{47AC5D1D-B29B-4954-9433-7334B70849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7</xdr:col>
      <xdr:colOff>638175</xdr:colOff>
      <xdr:row>34</xdr:row>
      <xdr:rowOff>57150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BC25CC75-A9C8-430D-BB40-37802BACA3B3}"/>
            </a:ext>
            <a:ext uri="{147F2762-F138-4A5C-976F-8EAC2B608ADB}">
              <a16:predDERef xmlns:a16="http://schemas.microsoft.com/office/drawing/2014/main" pred="{942637E3-A29A-49AB-9F02-A3EABCAFC3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9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017DF8E7-10E5-416B-88CD-42AC169682AB}"/>
            </a:ext>
            <a:ext uri="{147F2762-F138-4A5C-976F-8EAC2B608ADB}">
              <a16:predDERef xmlns:a16="http://schemas.microsoft.com/office/drawing/2014/main" pred="{BC25CC75-A9C8-430D-BB40-37802BACA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7</xdr:row>
      <xdr:rowOff>85725</xdr:rowOff>
    </xdr:from>
    <xdr:to>
      <xdr:col>23</xdr:col>
      <xdr:colOff>0</xdr:colOff>
      <xdr:row>16</xdr:row>
      <xdr:rowOff>85725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BD43E125-7892-435C-927A-EBD69BDB1F72}"/>
            </a:ext>
            <a:ext uri="{147F2762-F138-4A5C-976F-8EAC2B608ADB}">
              <a16:predDERef xmlns:a16="http://schemas.microsoft.com/office/drawing/2014/main" pred="{589629FE-3DB4-4BB1-AB9F-5758E9D38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142875</xdr:colOff>
      <xdr:row>24</xdr:row>
      <xdr:rowOff>0</xdr:rowOff>
    </xdr:from>
    <xdr:to>
      <xdr:col>22</xdr:col>
      <xdr:colOff>381000</xdr:colOff>
      <xdr:row>33</xdr:row>
      <xdr:rowOff>104775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3B7420D-99D4-4925-AE24-A691723E5477}"/>
            </a:ext>
            <a:ext uri="{147F2762-F138-4A5C-976F-8EAC2B608ADB}">
              <a16:predDERef xmlns:a16="http://schemas.microsoft.com/office/drawing/2014/main" pred="{BD43E125-7892-435C-927A-EBD69BDB1F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7</xdr:col>
      <xdr:colOff>638175</xdr:colOff>
      <xdr:row>34</xdr:row>
      <xdr:rowOff>57150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2BFDB4C7-A219-4855-9FC9-53BBB8923D98}"/>
            </a:ext>
            <a:ext uri="{147F2762-F138-4A5C-976F-8EAC2B608ADB}">
              <a16:predDERef xmlns:a16="http://schemas.microsoft.com/office/drawing/2014/main" pred="{03B7420D-99D4-4925-AE24-A691723E5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11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44E0CE87-5EB3-4169-AF1C-BB35275E9023}"/>
            </a:ext>
            <a:ext uri="{147F2762-F138-4A5C-976F-8EAC2B608ADB}">
              <a16:predDERef xmlns:a16="http://schemas.microsoft.com/office/drawing/2014/main" pred="{2BFDB4C7-A219-4855-9FC9-53BBB8923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7</xdr:row>
      <xdr:rowOff>85725</xdr:rowOff>
    </xdr:from>
    <xdr:to>
      <xdr:col>14</xdr:col>
      <xdr:colOff>857250</xdr:colOff>
      <xdr:row>16</xdr:row>
      <xdr:rowOff>85725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FF3440E4-FF40-48E8-8677-15EF79283378}"/>
            </a:ext>
            <a:ext uri="{147F2762-F138-4A5C-976F-8EAC2B608ADB}">
              <a16:predDERef xmlns:a16="http://schemas.microsoft.com/office/drawing/2014/main" pred="{41396BDE-A5B9-4573-8384-7ED35F9C8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142875</xdr:colOff>
      <xdr:row>24</xdr:row>
      <xdr:rowOff>0</xdr:rowOff>
    </xdr:from>
    <xdr:to>
      <xdr:col>24</xdr:col>
      <xdr:colOff>381000</xdr:colOff>
      <xdr:row>33</xdr:row>
      <xdr:rowOff>104775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B637DE31-E25E-4F89-94C8-DBA1958DF1F1}"/>
            </a:ext>
            <a:ext uri="{147F2762-F138-4A5C-976F-8EAC2B608ADB}">
              <a16:predDERef xmlns:a16="http://schemas.microsoft.com/office/drawing/2014/main" pred="{FF3440E4-FF40-48E8-8677-15EF79283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7</xdr:col>
      <xdr:colOff>638175</xdr:colOff>
      <xdr:row>34</xdr:row>
      <xdr:rowOff>57150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B8B9542D-2DE4-4323-AC75-242AD99C7A2D}"/>
            </a:ext>
            <a:ext uri="{147F2762-F138-4A5C-976F-8EAC2B608ADB}">
              <a16:predDERef xmlns:a16="http://schemas.microsoft.com/office/drawing/2014/main" pred="{B637DE31-E25E-4F89-94C8-DBA1958DF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5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CD0027B7-68EC-4384-BFCC-4755E5B5C901}"/>
            </a:ext>
            <a:ext uri="{147F2762-F138-4A5C-976F-8EAC2B608ADB}">
              <a16:predDERef xmlns:a16="http://schemas.microsoft.com/office/drawing/2014/main" pred="{B8B9542D-2DE4-4323-AC75-242AD99C7A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9525</xdr:rowOff>
    </xdr:from>
    <xdr:to>
      <xdr:col>25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4D23D5-37D5-4D0E-8887-FF384E02D880}"/>
            </a:ext>
            <a:ext uri="{147F2762-F138-4A5C-976F-8EAC2B608ADB}">
              <a16:predDERef xmlns:a16="http://schemas.microsoft.com/office/drawing/2014/main" pred="{924052DD-0D2A-4C0E-B471-A411D3E1E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22</xdr:row>
      <xdr:rowOff>152400</xdr:rowOff>
    </xdr:from>
    <xdr:to>
      <xdr:col>25</xdr:col>
      <xdr:colOff>781050</xdr:colOff>
      <xdr:row>31</xdr:row>
      <xdr:rowOff>76200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2084CC9F-5AB8-4170-9670-FD53D74ADD9E}"/>
            </a:ext>
            <a:ext uri="{147F2762-F138-4A5C-976F-8EAC2B608ADB}">
              <a16:predDERef xmlns:a16="http://schemas.microsoft.com/office/drawing/2014/main" pred="{D94D23D5-37D5-4D0E-8887-FF384E02D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8</xdr:row>
      <xdr:rowOff>9525</xdr:rowOff>
    </xdr:from>
    <xdr:to>
      <xdr:col>14</xdr:col>
      <xdr:colOff>0</xdr:colOff>
      <xdr:row>16</xdr:row>
      <xdr:rowOff>9525</xdr:rowOff>
    </xdr:to>
    <xdr:graphicFrame macro="">
      <xdr:nvGraphicFramePr>
        <xdr:cNvPr id="10" name="Chart 2">
          <a:extLst>
            <a:ext uri="{FF2B5EF4-FFF2-40B4-BE49-F238E27FC236}">
              <a16:creationId xmlns:a16="http://schemas.microsoft.com/office/drawing/2014/main" id="{41A61719-E73E-4D18-9FA7-B7425B8E5F05}"/>
            </a:ext>
            <a:ext uri="{147F2762-F138-4A5C-976F-8EAC2B608ADB}">
              <a16:predDERef xmlns:a16="http://schemas.microsoft.com/office/drawing/2014/main" pred="{2084CC9F-5AB8-4170-9670-FD53D74AD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23</xdr:row>
      <xdr:rowOff>57150</xdr:rowOff>
    </xdr:from>
    <xdr:to>
      <xdr:col>14</xdr:col>
      <xdr:colOff>0</xdr:colOff>
      <xdr:row>32</xdr:row>
      <xdr:rowOff>161925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1B9E5E38-6B07-49EA-94C4-0B8E46C7A3A4}"/>
            </a:ext>
            <a:ext uri="{147F2762-F138-4A5C-976F-8EAC2B608ADB}">
              <a16:predDERef xmlns:a16="http://schemas.microsoft.com/office/drawing/2014/main" pred="{41A61719-E73E-4D18-9FA7-B7425B8E5F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7</xdr:col>
      <xdr:colOff>638175</xdr:colOff>
      <xdr:row>34</xdr:row>
      <xdr:rowOff>57150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4315D33C-B9CD-4A6B-9969-FFCF501B846F}"/>
            </a:ext>
            <a:ext uri="{147F2762-F138-4A5C-976F-8EAC2B608ADB}">
              <a16:predDERef xmlns:a16="http://schemas.microsoft.com/office/drawing/2014/main" pred="{1B9E5E38-6B07-49EA-94C4-0B8E46C7A3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13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0B111ACC-3EA8-4D27-9FC4-876F87B83CD5}"/>
            </a:ext>
            <a:ext uri="{147F2762-F138-4A5C-976F-8EAC2B608ADB}">
              <a16:predDERef xmlns:a16="http://schemas.microsoft.com/office/drawing/2014/main" pred="{4315D33C-B9CD-4A6B-9969-FFCF501B8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9525</xdr:rowOff>
    </xdr:from>
    <xdr:to>
      <xdr:col>23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DCA62C-3394-4533-98C5-BC5D6B01333F}"/>
            </a:ext>
            <a:ext uri="{147F2762-F138-4A5C-976F-8EAC2B608ADB}">
              <a16:predDERef xmlns:a16="http://schemas.microsoft.com/office/drawing/2014/main" pred="{756E047A-919F-4634-A49A-F09E889216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23</xdr:row>
      <xdr:rowOff>57150</xdr:rowOff>
    </xdr:from>
    <xdr:to>
      <xdr:col>23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7349178-5B1A-4814-BFA4-7F9E54D3A73B}"/>
            </a:ext>
            <a:ext uri="{147F2762-F138-4A5C-976F-8EAC2B608ADB}">
              <a16:predDERef xmlns:a16="http://schemas.microsoft.com/office/drawing/2014/main" pred="{2FDCA62C-3394-4533-98C5-BC5D6B0133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7</xdr:col>
      <xdr:colOff>638175</xdr:colOff>
      <xdr:row>34</xdr:row>
      <xdr:rowOff>57150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1C028AF3-7E8D-4A1E-AC98-3232909C278A}"/>
            </a:ext>
            <a:ext uri="{147F2762-F138-4A5C-976F-8EAC2B608ADB}">
              <a16:predDERef xmlns:a16="http://schemas.microsoft.com/office/drawing/2014/main" pred="{F7349178-5B1A-4814-BFA4-7F9E54D3A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10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BCDCE80F-C06F-4C01-B9B2-8853653DD233}"/>
            </a:ext>
            <a:ext uri="{147F2762-F138-4A5C-976F-8EAC2B608ADB}">
              <a16:predDERef xmlns:a16="http://schemas.microsoft.com/office/drawing/2014/main" pred="{1C028AF3-7E8D-4A1E-AC98-3232909C2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9525</xdr:rowOff>
    </xdr:from>
    <xdr:to>
      <xdr:col>23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1ABA67-37F1-4474-8054-706CF74B373F}"/>
            </a:ext>
            <a:ext uri="{147F2762-F138-4A5C-976F-8EAC2B608ADB}">
              <a16:predDERef xmlns:a16="http://schemas.microsoft.com/office/drawing/2014/main" pred="{E79F7F3F-F8A7-40F2-8477-0CD79E99C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23</xdr:row>
      <xdr:rowOff>57150</xdr:rowOff>
    </xdr:from>
    <xdr:to>
      <xdr:col>23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E1661862-3E59-40A5-B28E-025BD4B83655}"/>
            </a:ext>
            <a:ext uri="{147F2762-F138-4A5C-976F-8EAC2B608ADB}">
              <a16:predDERef xmlns:a16="http://schemas.microsoft.com/office/drawing/2014/main" pred="{761ABA67-37F1-4474-8054-706CF74B3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95250</xdr:colOff>
      <xdr:row>25</xdr:row>
      <xdr:rowOff>47625</xdr:rowOff>
    </xdr:from>
    <xdr:to>
      <xdr:col>7</xdr:col>
      <xdr:colOff>638175</xdr:colOff>
      <xdr:row>34</xdr:row>
      <xdr:rowOff>57150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A1062366-38E9-44C9-A7A3-EB2852E72EF7}"/>
            </a:ext>
            <a:ext uri="{147F2762-F138-4A5C-976F-8EAC2B608ADB}">
              <a16:predDERef xmlns:a16="http://schemas.microsoft.com/office/drawing/2014/main" pred="{E1661862-3E59-40A5-B28E-025BD4B83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10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D0BD6F8A-9239-4547-9B6E-1CE87A4106BC}"/>
            </a:ext>
            <a:ext uri="{147F2762-F138-4A5C-976F-8EAC2B608ADB}">
              <a16:predDERef xmlns:a16="http://schemas.microsoft.com/office/drawing/2014/main" pred="{A1062366-38E9-44C9-A7A3-EB2852E72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25</xdr:row>
      <xdr:rowOff>57150</xdr:rowOff>
    </xdr:from>
    <xdr:to>
      <xdr:col>9</xdr:col>
      <xdr:colOff>571500</xdr:colOff>
      <xdr:row>34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32D876-6848-427E-B1BD-A3F7D61EE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8</xdr:row>
      <xdr:rowOff>9525</xdr:rowOff>
    </xdr:from>
    <xdr:to>
      <xdr:col>26</xdr:col>
      <xdr:colOff>762000</xdr:colOff>
      <xdr:row>18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44BCD4-416A-455C-B115-65B4A9BF29F0}"/>
            </a:ext>
            <a:ext uri="{147F2762-F138-4A5C-976F-8EAC2B608ADB}">
              <a16:predDERef xmlns:a16="http://schemas.microsoft.com/office/drawing/2014/main" pred="{9C32D876-6848-427E-B1BD-A3F7D61EE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25</xdr:row>
      <xdr:rowOff>57150</xdr:rowOff>
    </xdr:from>
    <xdr:to>
      <xdr:col>26</xdr:col>
      <xdr:colOff>704850</xdr:colOff>
      <xdr:row>34</xdr:row>
      <xdr:rowOff>161925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C49B005-DEFD-4364-8816-DA2CC259FB3F}"/>
            </a:ext>
            <a:ext uri="{147F2762-F138-4A5C-976F-8EAC2B608ADB}">
              <a16:predDERef xmlns:a16="http://schemas.microsoft.com/office/drawing/2014/main" pred="{AE44BCD4-416A-455C-B115-65B4A9BF29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5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2AB73CDB-B26B-431C-AB4B-4AFDE42B4E20}"/>
            </a:ext>
            <a:ext uri="{147F2762-F138-4A5C-976F-8EAC2B608ADB}">
              <a16:predDERef xmlns:a16="http://schemas.microsoft.com/office/drawing/2014/main" pred="{2C49B005-DEFD-4364-8816-DA2CC259F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9525</xdr:rowOff>
    </xdr:from>
    <xdr:to>
      <xdr:col>25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0F72C4-E8AE-4733-9740-DFDD8DB9AC32}"/>
            </a:ext>
            <a:ext uri="{147F2762-F138-4A5C-976F-8EAC2B608ADB}">
              <a16:predDERef xmlns:a16="http://schemas.microsoft.com/office/drawing/2014/main" pred="{96690CDD-E173-40F1-AE6D-DAA85B2FB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22</xdr:row>
      <xdr:rowOff>57150</xdr:rowOff>
    </xdr:from>
    <xdr:to>
      <xdr:col>25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2567BDC-3519-46AC-9E99-DC17570CBD2B}"/>
            </a:ext>
            <a:ext uri="{147F2762-F138-4A5C-976F-8EAC2B608ADB}">
              <a16:predDERef xmlns:a16="http://schemas.microsoft.com/office/drawing/2014/main" pred="{700F72C4-E8AE-4733-9740-DFDD8DB9A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85725</xdr:colOff>
      <xdr:row>24</xdr:row>
      <xdr:rowOff>57150</xdr:rowOff>
    </xdr:from>
    <xdr:to>
      <xdr:col>9</xdr:col>
      <xdr:colOff>485775</xdr:colOff>
      <xdr:row>32</xdr:row>
      <xdr:rowOff>161925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84A588C5-E264-4F68-B8FE-BBE99EFD8AC8}"/>
            </a:ext>
            <a:ext uri="{147F2762-F138-4A5C-976F-8EAC2B608ADB}">
              <a16:predDERef xmlns:a16="http://schemas.microsoft.com/office/drawing/2014/main" pred="{F2567BDC-3519-46AC-9E99-DC17570CB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419100</xdr:colOff>
      <xdr:row>24</xdr:row>
      <xdr:rowOff>95250</xdr:rowOff>
    </xdr:from>
    <xdr:to>
      <xdr:col>2</xdr:col>
      <xdr:colOff>609600</xdr:colOff>
      <xdr:row>32</xdr:row>
      <xdr:rowOff>180975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5ABCAD24-E1D6-453E-81EF-B09ECA4A3B37}"/>
            </a:ext>
            <a:ext uri="{147F2762-F138-4A5C-976F-8EAC2B608ADB}">
              <a16:predDERef xmlns:a16="http://schemas.microsoft.com/office/drawing/2014/main" pred="{84A588C5-E264-4F68-B8FE-BBE99EFD8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23</xdr:row>
      <xdr:rowOff>85725</xdr:rowOff>
    </xdr:from>
    <xdr:to>
      <xdr:col>9</xdr:col>
      <xdr:colOff>590550</xdr:colOff>
      <xdr:row>34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196550-A4B9-41DF-BF46-90F3AD5F5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8</xdr:row>
      <xdr:rowOff>9525</xdr:rowOff>
    </xdr:from>
    <xdr:to>
      <xdr:col>25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15FE6A-9378-4020-9846-D56B26383654}"/>
            </a:ext>
            <a:ext uri="{147F2762-F138-4A5C-976F-8EAC2B608ADB}">
              <a16:predDERef xmlns:a16="http://schemas.microsoft.com/office/drawing/2014/main" pred="{A4196550-A4B9-41DF-BF46-90F3AD5F5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23</xdr:row>
      <xdr:rowOff>57150</xdr:rowOff>
    </xdr:from>
    <xdr:to>
      <xdr:col>25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8B2F42FE-7729-4DE1-9A2E-394690E1F896}"/>
            </a:ext>
            <a:ext uri="{147F2762-F138-4A5C-976F-8EAC2B608ADB}">
              <a16:predDERef xmlns:a16="http://schemas.microsoft.com/office/drawing/2014/main" pred="{C615FE6A-9378-4020-9846-D56B26383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24</xdr:row>
      <xdr:rowOff>57150</xdr:rowOff>
    </xdr:from>
    <xdr:to>
      <xdr:col>9</xdr:col>
      <xdr:colOff>485775</xdr:colOff>
      <xdr:row>32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C715C4-150E-4844-A3E0-47C17ED153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152400</xdr:colOff>
      <xdr:row>8</xdr:row>
      <xdr:rowOff>142875</xdr:rowOff>
    </xdr:from>
    <xdr:to>
      <xdr:col>25</xdr:col>
      <xdr:colOff>723900</xdr:colOff>
      <xdr:row>17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34808F-DF8E-4C89-A549-5B07F5270B31}"/>
            </a:ext>
            <a:ext uri="{147F2762-F138-4A5C-976F-8EAC2B608ADB}">
              <a16:predDERef xmlns:a16="http://schemas.microsoft.com/office/drawing/2014/main" pred="{A4C715C4-150E-4844-A3E0-47C17ED153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24</xdr:row>
      <xdr:rowOff>57150</xdr:rowOff>
    </xdr:from>
    <xdr:to>
      <xdr:col>25</xdr:col>
      <xdr:colOff>704850</xdr:colOff>
      <xdr:row>33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AAC364DF-4B9F-4226-9708-C2A6CE00E348}"/>
            </a:ext>
            <a:ext uri="{147F2762-F138-4A5C-976F-8EAC2B608ADB}">
              <a16:predDERef xmlns:a16="http://schemas.microsoft.com/office/drawing/2014/main" pred="{3D34808F-DF8E-4C89-A549-5B07F5270B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24</xdr:row>
      <xdr:rowOff>85725</xdr:rowOff>
    </xdr:from>
    <xdr:to>
      <xdr:col>2</xdr:col>
      <xdr:colOff>257175</xdr:colOff>
      <xdr:row>32</xdr:row>
      <xdr:rowOff>171450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61D9C74-3719-69B1-EE7C-BF3EA2AFEBC3}"/>
            </a:ext>
            <a:ext uri="{147F2762-F138-4A5C-976F-8EAC2B608ADB}">
              <a16:predDERef xmlns:a16="http://schemas.microsoft.com/office/drawing/2014/main" pred="{AAC364DF-4B9F-4226-9708-C2A6CE00E3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24</xdr:row>
      <xdr:rowOff>76200</xdr:rowOff>
    </xdr:from>
    <xdr:to>
      <xdr:col>7</xdr:col>
      <xdr:colOff>590550</xdr:colOff>
      <xdr:row>33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4C1BED-B5AE-4056-9A2A-CEBABDD3C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8</xdr:row>
      <xdr:rowOff>9525</xdr:rowOff>
    </xdr:from>
    <xdr:to>
      <xdr:col>34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8DB3CA-4B8E-4A4D-AAFA-1AAADB418895}"/>
            </a:ext>
            <a:ext uri="{147F2762-F138-4A5C-976F-8EAC2B608ADB}">
              <a16:predDERef xmlns:a16="http://schemas.microsoft.com/office/drawing/2014/main" pred="{544C1BED-B5AE-4056-9A2A-CEBABDD3C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133350</xdr:colOff>
      <xdr:row>24</xdr:row>
      <xdr:rowOff>180975</xdr:rowOff>
    </xdr:from>
    <xdr:to>
      <xdr:col>30</xdr:col>
      <xdr:colOff>657225</xdr:colOff>
      <xdr:row>34</xdr:row>
      <xdr:rowOff>95250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228C7BF1-CD6C-438E-9B52-CA3CDA5516C5}"/>
            </a:ext>
            <a:ext uri="{147F2762-F138-4A5C-976F-8EAC2B608ADB}">
              <a16:predDERef xmlns:a16="http://schemas.microsoft.com/office/drawing/2014/main" pred="{D88DB3CA-4B8E-4A4D-AAFA-1AAADB4188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847725</xdr:colOff>
      <xdr:row>24</xdr:row>
      <xdr:rowOff>38100</xdr:rowOff>
    </xdr:from>
    <xdr:to>
      <xdr:col>1</xdr:col>
      <xdr:colOff>1905000</xdr:colOff>
      <xdr:row>33</xdr:row>
      <xdr:rowOff>47625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3A108C3-EFC7-1879-AC71-ADE4734EF131}"/>
            </a:ext>
            <a:ext uri="{147F2762-F138-4A5C-976F-8EAC2B608ADB}">
              <a16:predDERef xmlns:a16="http://schemas.microsoft.com/office/drawing/2014/main" pred="{228C7BF1-CD6C-438E-9B52-CA3CDA5516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24</xdr:row>
      <xdr:rowOff>85725</xdr:rowOff>
    </xdr:from>
    <xdr:to>
      <xdr:col>9</xdr:col>
      <xdr:colOff>133350</xdr:colOff>
      <xdr:row>33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51509F-7593-4337-B96C-2BA2C0DFB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8</xdr:row>
      <xdr:rowOff>9525</xdr:rowOff>
    </xdr:from>
    <xdr:to>
      <xdr:col>25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AF7915-33A2-43DB-A054-E4884767DB37}"/>
            </a:ext>
            <a:ext uri="{147F2762-F138-4A5C-976F-8EAC2B608ADB}">
              <a16:predDERef xmlns:a16="http://schemas.microsoft.com/office/drawing/2014/main" pred="{D151509F-7593-4337-B96C-2BA2C0DFB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657225</xdr:colOff>
      <xdr:row>24</xdr:row>
      <xdr:rowOff>85725</xdr:rowOff>
    </xdr:from>
    <xdr:to>
      <xdr:col>2</xdr:col>
      <xdr:colOff>361950</xdr:colOff>
      <xdr:row>33</xdr:row>
      <xdr:rowOff>19050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71B1B5A-DC4D-73C6-D22F-CD565C1A2E68}"/>
            </a:ext>
            <a:ext uri="{147F2762-F138-4A5C-976F-8EAC2B608ADB}">
              <a16:predDERef xmlns:a16="http://schemas.microsoft.com/office/drawing/2014/main" pred="{48AF7915-33A2-43DB-A054-E4884767DB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25</xdr:row>
      <xdr:rowOff>57150</xdr:rowOff>
    </xdr:from>
    <xdr:to>
      <xdr:col>15</xdr:col>
      <xdr:colOff>571500</xdr:colOff>
      <xdr:row>34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CB60A8-F577-42DF-A35A-7C8AA4CAB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0</xdr:colOff>
      <xdr:row>8</xdr:row>
      <xdr:rowOff>9525</xdr:rowOff>
    </xdr:from>
    <xdr:to>
      <xdr:col>32</xdr:col>
      <xdr:colOff>762000</xdr:colOff>
      <xdr:row>18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E2D056-4A0A-4E1F-ACD8-6A38F8E44096}"/>
            </a:ext>
            <a:ext uri="{147F2762-F138-4A5C-976F-8EAC2B608ADB}">
              <a16:predDERef xmlns:a16="http://schemas.microsoft.com/office/drawing/2014/main" pred="{B4CB60A8-F577-42DF-A35A-7C8AA4CAB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25</xdr:row>
      <xdr:rowOff>57150</xdr:rowOff>
    </xdr:from>
    <xdr:to>
      <xdr:col>32</xdr:col>
      <xdr:colOff>704850</xdr:colOff>
      <xdr:row>34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EC3A42DF-78F2-4D3F-8372-5113FF73BD0D}"/>
            </a:ext>
            <a:ext uri="{147F2762-F138-4A5C-976F-8EAC2B608ADB}">
              <a16:predDERef xmlns:a16="http://schemas.microsoft.com/office/drawing/2014/main" pred="{36E2D056-4A0A-4E1F-ACD8-6A38F8E440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514350</xdr:colOff>
      <xdr:row>25</xdr:row>
      <xdr:rowOff>57150</xdr:rowOff>
    </xdr:from>
    <xdr:to>
      <xdr:col>2</xdr:col>
      <xdr:colOff>638175</xdr:colOff>
      <xdr:row>34</xdr:row>
      <xdr:rowOff>66675</xdr:rowOff>
    </xdr:to>
    <xdr:graphicFrame macro="">
      <xdr:nvGraphicFramePr>
        <xdr:cNvPr id="7" name="Chart 6" descr="Chart type: Clustered Column. 'Field2', 'Field3' by 'Field1'&#10;&#10;Description automatically generated">
          <a:extLst>
            <a:ext uri="{FF2B5EF4-FFF2-40B4-BE49-F238E27FC236}">
              <a16:creationId xmlns:a16="http://schemas.microsoft.com/office/drawing/2014/main" id="{32B69746-CE79-398F-E1CF-02CE98350724}"/>
            </a:ext>
            <a:ext uri="{147F2762-F138-4A5C-976F-8EAC2B608ADB}">
              <a16:predDERef xmlns:a16="http://schemas.microsoft.com/office/drawing/2014/main" pred="{EC3A42DF-78F2-4D3F-8372-5113FF73BD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25</xdr:row>
      <xdr:rowOff>161925</xdr:rowOff>
    </xdr:from>
    <xdr:to>
      <xdr:col>7</xdr:col>
      <xdr:colOff>342900</xdr:colOff>
      <xdr:row>34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ED1F05-6421-481A-8611-620443E60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8</xdr:row>
      <xdr:rowOff>9525</xdr:rowOff>
    </xdr:from>
    <xdr:to>
      <xdr:col>23</xdr:col>
      <xdr:colOff>762000</xdr:colOff>
      <xdr:row>18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F63DBE-EAA8-4698-B88D-01C21AEFA541}"/>
            </a:ext>
            <a:ext uri="{147F2762-F138-4A5C-976F-8EAC2B608ADB}">
              <a16:predDERef xmlns:a16="http://schemas.microsoft.com/office/drawing/2014/main" pred="{BEED1F05-6421-481A-8611-620443E60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25</xdr:row>
      <xdr:rowOff>57150</xdr:rowOff>
    </xdr:from>
    <xdr:to>
      <xdr:col>23</xdr:col>
      <xdr:colOff>704850</xdr:colOff>
      <xdr:row>34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E6A7EB9A-18DA-48F4-B6CC-03B4295B4B75}"/>
            </a:ext>
            <a:ext uri="{147F2762-F138-4A5C-976F-8EAC2B608ADB}">
              <a16:predDERef xmlns:a16="http://schemas.microsoft.com/office/drawing/2014/main" pred="{9BF63DBE-EAA8-4698-B88D-01C21AEFA5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123825</xdr:colOff>
      <xdr:row>25</xdr:row>
      <xdr:rowOff>123825</xdr:rowOff>
    </xdr:from>
    <xdr:to>
      <xdr:col>1</xdr:col>
      <xdr:colOff>1971675</xdr:colOff>
      <xdr:row>34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D98650A-5F1A-EAD8-DA06-EE533EB02AB5}"/>
            </a:ext>
            <a:ext uri="{147F2762-F138-4A5C-976F-8EAC2B608ADB}">
              <a16:predDERef xmlns:a16="http://schemas.microsoft.com/office/drawing/2014/main" pred="{E6A7EB9A-18DA-48F4-B6CC-03B4295B4B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2000250</xdr:colOff>
      <xdr:row>25</xdr:row>
      <xdr:rowOff>66675</xdr:rowOff>
    </xdr:from>
    <xdr:to>
      <xdr:col>6</xdr:col>
      <xdr:colOff>95250</xdr:colOff>
      <xdr:row>34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FD436C-4F89-40BB-9C73-C0EE5E70F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161925</xdr:colOff>
      <xdr:row>7</xdr:row>
      <xdr:rowOff>123825</xdr:rowOff>
    </xdr:from>
    <xdr:to>
      <xdr:col>25</xdr:col>
      <xdr:colOff>609600</xdr:colOff>
      <xdr:row>17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613970-8FD8-41B4-90D2-7D555A633D27}"/>
            </a:ext>
            <a:ext uri="{147F2762-F138-4A5C-976F-8EAC2B608ADB}">
              <a16:predDERef xmlns:a16="http://schemas.microsoft.com/office/drawing/2014/main" pred="{5FFD436C-4F89-40BB-9C73-C0EE5E70F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24</xdr:row>
      <xdr:rowOff>57150</xdr:rowOff>
    </xdr:from>
    <xdr:to>
      <xdr:col>25</xdr:col>
      <xdr:colOff>704850</xdr:colOff>
      <xdr:row>33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52DB9A3A-23FF-4982-9530-C92735A87D2A}"/>
            </a:ext>
            <a:ext uri="{147F2762-F138-4A5C-976F-8EAC2B608ADB}">
              <a16:predDERef xmlns:a16="http://schemas.microsoft.com/office/drawing/2014/main" pred="{8E613970-8FD8-41B4-90D2-7D555A633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25</xdr:row>
      <xdr:rowOff>76200</xdr:rowOff>
    </xdr:from>
    <xdr:to>
      <xdr:col>1</xdr:col>
      <xdr:colOff>1857375</xdr:colOff>
      <xdr:row>34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BF4F029-92C4-CF00-52E2-E3212CCF7E34}"/>
            </a:ext>
            <a:ext uri="{147F2762-F138-4A5C-976F-8EAC2B608ADB}">
              <a16:predDERef xmlns:a16="http://schemas.microsoft.com/office/drawing/2014/main" pred="{52DB9A3A-23FF-4982-9530-C92735A87D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1390650</xdr:colOff>
      <xdr:row>26</xdr:row>
      <xdr:rowOff>123825</xdr:rowOff>
    </xdr:from>
    <xdr:to>
      <xdr:col>7</xdr:col>
      <xdr:colOff>571500</xdr:colOff>
      <xdr:row>34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C760A2-4BFC-4943-BAF9-92621586F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8</xdr:row>
      <xdr:rowOff>0</xdr:rowOff>
    </xdr:from>
    <xdr:to>
      <xdr:col>23</xdr:col>
      <xdr:colOff>752475</xdr:colOff>
      <xdr:row>18</xdr:row>
      <xdr:rowOff>180975</xdr:rowOff>
    </xdr:to>
    <xdr:graphicFrame macro="">
      <xdr:nvGraphicFramePr>
        <xdr:cNvPr id="3" name="Chart 2" descr="Chart type: Clustered Column. 'Field2'&#10;&#10;Description automatically generated">
          <a:extLst>
            <a:ext uri="{FF2B5EF4-FFF2-40B4-BE49-F238E27FC236}">
              <a16:creationId xmlns:a16="http://schemas.microsoft.com/office/drawing/2014/main" id="{EFC624C4-B052-A9D6-96C6-CA248622C232}"/>
            </a:ext>
            <a:ext uri="{147F2762-F138-4A5C-976F-8EAC2B608ADB}">
              <a16:predDERef xmlns:a16="http://schemas.microsoft.com/office/drawing/2014/main" pred="{35C760A2-4BFC-4943-BAF9-92621586FB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9525</xdr:colOff>
      <xdr:row>25</xdr:row>
      <xdr:rowOff>171450</xdr:rowOff>
    </xdr:from>
    <xdr:to>
      <xdr:col>23</xdr:col>
      <xdr:colOff>762000</xdr:colOff>
      <xdr:row>34</xdr:row>
      <xdr:rowOff>9525</xdr:rowOff>
    </xdr:to>
    <xdr:graphicFrame macro="">
      <xdr:nvGraphicFramePr>
        <xdr:cNvPr id="4" name="Chart 3" descr="Chart type: Line, Clustered Column. 'Field1', 'Field2', 'Field3'&#10;&#10;Description automatically generated">
          <a:extLst>
            <a:ext uri="{FF2B5EF4-FFF2-40B4-BE49-F238E27FC236}">
              <a16:creationId xmlns:a16="http://schemas.microsoft.com/office/drawing/2014/main" id="{B12E5A01-6560-5F02-891F-DA2E365BE8E7}"/>
            </a:ext>
            <a:ext uri="{147F2762-F138-4A5C-976F-8EAC2B608ADB}">
              <a16:predDERef xmlns:a16="http://schemas.microsoft.com/office/drawing/2014/main" pred="{EFC624C4-B052-A9D6-96C6-CA248622C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26</xdr:row>
      <xdr:rowOff>133350</xdr:rowOff>
    </xdr:from>
    <xdr:to>
      <xdr:col>1</xdr:col>
      <xdr:colOff>1276350</xdr:colOff>
      <xdr:row>34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30F00E4-C7D5-9963-F337-029F2C4B5D45}"/>
            </a:ext>
            <a:ext uri="{147F2762-F138-4A5C-976F-8EAC2B608ADB}">
              <a16:predDERef xmlns:a16="http://schemas.microsoft.com/office/drawing/2014/main" pred="{B12E5A01-6560-5F02-891F-DA2E365BE8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1847850</xdr:colOff>
      <xdr:row>24</xdr:row>
      <xdr:rowOff>76200</xdr:rowOff>
    </xdr:from>
    <xdr:to>
      <xdr:col>7</xdr:col>
      <xdr:colOff>647700</xdr:colOff>
      <xdr:row>34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10FB7C-2B41-4694-8484-5E8894AD7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24</xdr:row>
      <xdr:rowOff>104775</xdr:rowOff>
    </xdr:from>
    <xdr:to>
      <xdr:col>1</xdr:col>
      <xdr:colOff>1714500</xdr:colOff>
      <xdr:row>34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392350-14DC-4AFF-091E-AF9396C86AF6}"/>
            </a:ext>
            <a:ext uri="{147F2762-F138-4A5C-976F-8EAC2B608ADB}">
              <a16:predDERef xmlns:a16="http://schemas.microsoft.com/office/drawing/2014/main" pred="{5310FB7C-2B41-4694-8484-5E8894AD7A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25</xdr:row>
      <xdr:rowOff>171450</xdr:rowOff>
    </xdr:from>
    <xdr:to>
      <xdr:col>11</xdr:col>
      <xdr:colOff>628650</xdr:colOff>
      <xdr:row>35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3F9492-49DE-450D-B37A-3F0E37DC0E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7</xdr:row>
      <xdr:rowOff>95250</xdr:rowOff>
    </xdr:from>
    <xdr:to>
      <xdr:col>25</xdr:col>
      <xdr:colOff>561975</xdr:colOff>
      <xdr:row>17</xdr:row>
      <xdr:rowOff>180975</xdr:rowOff>
    </xdr:to>
    <xdr:graphicFrame macro="">
      <xdr:nvGraphicFramePr>
        <xdr:cNvPr id="9" name="Diagramma 79">
          <a:extLst>
            <a:ext uri="{FF2B5EF4-FFF2-40B4-BE49-F238E27FC236}">
              <a16:creationId xmlns:a16="http://schemas.microsoft.com/office/drawing/2014/main" id="{74D68635-97AE-6587-3A08-CF3404EB4FF6}"/>
            </a:ext>
            <a:ext uri="{147F2762-F138-4A5C-976F-8EAC2B608ADB}">
              <a16:predDERef xmlns:a16="http://schemas.microsoft.com/office/drawing/2014/main" pred="{4A3F9492-49DE-450D-B37A-3F0E37DC0E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9525</xdr:colOff>
      <xdr:row>24</xdr:row>
      <xdr:rowOff>133350</xdr:rowOff>
    </xdr:from>
    <xdr:to>
      <xdr:col>25</xdr:col>
      <xdr:colOff>542925</xdr:colOff>
      <xdr:row>32</xdr:row>
      <xdr:rowOff>180975</xdr:rowOff>
    </xdr:to>
    <xdr:graphicFrame macro="">
      <xdr:nvGraphicFramePr>
        <xdr:cNvPr id="6" name="Diagramma 80">
          <a:extLst>
            <a:ext uri="{FF2B5EF4-FFF2-40B4-BE49-F238E27FC236}">
              <a16:creationId xmlns:a16="http://schemas.microsoft.com/office/drawing/2014/main" id="{88371EF0-D782-81EC-4AB4-98AC6D425A6D}"/>
            </a:ext>
            <a:ext uri="{147F2762-F138-4A5C-976F-8EAC2B608ADB}">
              <a16:predDERef xmlns:a16="http://schemas.microsoft.com/office/drawing/2014/main" pred="{74D68635-97AE-6587-3A08-CF3404EB4F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25</xdr:row>
      <xdr:rowOff>152400</xdr:rowOff>
    </xdr:from>
    <xdr:to>
      <xdr:col>2</xdr:col>
      <xdr:colOff>457200</xdr:colOff>
      <xdr:row>35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A05581-BE6C-8CA1-8CB0-EE82AC37225C}"/>
            </a:ext>
            <a:ext uri="{147F2762-F138-4A5C-976F-8EAC2B608ADB}">
              <a16:predDERef xmlns:a16="http://schemas.microsoft.com/office/drawing/2014/main" pred="{88371EF0-D782-81EC-4AB4-98AC6D425A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25</xdr:row>
      <xdr:rowOff>57150</xdr:rowOff>
    </xdr:from>
    <xdr:to>
      <xdr:col>9</xdr:col>
      <xdr:colOff>685800</xdr:colOff>
      <xdr:row>34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E6385-FC29-46DB-A10D-DFC15D56ED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204787</xdr:colOff>
      <xdr:row>9</xdr:row>
      <xdr:rowOff>9526</xdr:rowOff>
    </xdr:from>
    <xdr:to>
      <xdr:col>11</xdr:col>
      <xdr:colOff>0</xdr:colOff>
      <xdr:row>18</xdr:row>
      <xdr:rowOff>28576</xdr:rowOff>
    </xdr:to>
    <xdr:graphicFrame macro="">
      <xdr:nvGraphicFramePr>
        <xdr:cNvPr id="9" name="Diagramma 8">
          <a:extLst>
            <a:ext uri="{FF2B5EF4-FFF2-40B4-BE49-F238E27FC236}">
              <a16:creationId xmlns:a16="http://schemas.microsoft.com/office/drawing/2014/main" id="{FABE9EBD-48C6-E394-6CFC-A6A59B4FCC2E}"/>
            </a:ext>
            <a:ext uri="{147F2762-F138-4A5C-976F-8EAC2B608ADB}">
              <a16:predDERef xmlns:a16="http://schemas.microsoft.com/office/drawing/2014/main" pred="{3DBE6385-FC29-46DB-A10D-DFC15D56ED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7</xdr:row>
      <xdr:rowOff>38100</xdr:rowOff>
    </xdr:from>
    <xdr:to>
      <xdr:col>25</xdr:col>
      <xdr:colOff>733425</xdr:colOff>
      <xdr:row>17</xdr:row>
      <xdr:rowOff>180975</xdr:rowOff>
    </xdr:to>
    <xdr:graphicFrame macro="">
      <xdr:nvGraphicFramePr>
        <xdr:cNvPr id="10" name="Diagramma 9">
          <a:extLst>
            <a:ext uri="{FF2B5EF4-FFF2-40B4-BE49-F238E27FC236}">
              <a16:creationId xmlns:a16="http://schemas.microsoft.com/office/drawing/2014/main" id="{9ABCA686-D452-E152-10BC-AE1E6741FC45}"/>
            </a:ext>
            <a:ext uri="{147F2762-F138-4A5C-976F-8EAC2B608ADB}">
              <a16:predDERef xmlns:a16="http://schemas.microsoft.com/office/drawing/2014/main" pred="{FABE9EBD-48C6-E394-6CFC-A6A59B4FCC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161925</xdr:colOff>
      <xdr:row>24</xdr:row>
      <xdr:rowOff>76200</xdr:rowOff>
    </xdr:from>
    <xdr:to>
      <xdr:col>25</xdr:col>
      <xdr:colOff>762000</xdr:colOff>
      <xdr:row>31</xdr:row>
      <xdr:rowOff>76200</xdr:rowOff>
    </xdr:to>
    <xdr:graphicFrame macro="">
      <xdr:nvGraphicFramePr>
        <xdr:cNvPr id="12" name="Diagramma 11">
          <a:extLst>
            <a:ext uri="{FF2B5EF4-FFF2-40B4-BE49-F238E27FC236}">
              <a16:creationId xmlns:a16="http://schemas.microsoft.com/office/drawing/2014/main" id="{0ECA3F34-CA6E-71F6-DBAF-4D50A1C3738D}"/>
            </a:ext>
            <a:ext uri="{147F2762-F138-4A5C-976F-8EAC2B608ADB}">
              <a16:predDERef xmlns:a16="http://schemas.microsoft.com/office/drawing/2014/main" pred="{9ABCA686-D452-E152-10BC-AE1E6741FC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25</xdr:row>
      <xdr:rowOff>66675</xdr:rowOff>
    </xdr:from>
    <xdr:to>
      <xdr:col>1</xdr:col>
      <xdr:colOff>1838325</xdr:colOff>
      <xdr:row>34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D9478C-8B3E-23FC-5CCC-4AD2A8954EB2}"/>
            </a:ext>
            <a:ext uri="{147F2762-F138-4A5C-976F-8EAC2B608ADB}">
              <a16:predDERef xmlns:a16="http://schemas.microsoft.com/office/drawing/2014/main" pred="{0ECA3F34-CA6E-71F6-DBAF-4D50A1C373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1952625</xdr:colOff>
      <xdr:row>24</xdr:row>
      <xdr:rowOff>57150</xdr:rowOff>
    </xdr:from>
    <xdr:to>
      <xdr:col>7</xdr:col>
      <xdr:colOff>485775</xdr:colOff>
      <xdr:row>35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B60B0D-72D8-4070-A933-09CF02EBE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180975</xdr:colOff>
      <xdr:row>7</xdr:row>
      <xdr:rowOff>76200</xdr:rowOff>
    </xdr:from>
    <xdr:to>
      <xdr:col>23</xdr:col>
      <xdr:colOff>771525</xdr:colOff>
      <xdr:row>16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7DBECA-8332-1184-4916-AEE58878B380}"/>
            </a:ext>
            <a:ext uri="{147F2762-F138-4A5C-976F-8EAC2B608ADB}">
              <a16:predDERef xmlns:a16="http://schemas.microsoft.com/office/drawing/2014/main" pred="{5FB60B0D-72D8-4070-A933-09CF02EBE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161925</xdr:colOff>
      <xdr:row>24</xdr:row>
      <xdr:rowOff>114300</xdr:rowOff>
    </xdr:from>
    <xdr:to>
      <xdr:col>23</xdr:col>
      <xdr:colOff>819150</xdr:colOff>
      <xdr:row>33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2853B50-3887-EB80-1F02-839F535F6C18}"/>
            </a:ext>
            <a:ext uri="{147F2762-F138-4A5C-976F-8EAC2B608ADB}">
              <a16:predDERef xmlns:a16="http://schemas.microsoft.com/office/drawing/2014/main" pred="{2F7DBECA-8332-1184-4916-AEE58878B3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24</xdr:row>
      <xdr:rowOff>104775</xdr:rowOff>
    </xdr:from>
    <xdr:to>
      <xdr:col>1</xdr:col>
      <xdr:colOff>1638300</xdr:colOff>
      <xdr:row>35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485439A-ABA7-9A33-58ED-96853A814597}"/>
            </a:ext>
            <a:ext uri="{147F2762-F138-4A5C-976F-8EAC2B608ADB}">
              <a16:predDERef xmlns:a16="http://schemas.microsoft.com/office/drawing/2014/main" pred="{A2853B50-3887-EB80-1F02-839F535F6C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24</xdr:row>
      <xdr:rowOff>161925</xdr:rowOff>
    </xdr:from>
    <xdr:to>
      <xdr:col>7</xdr:col>
      <xdr:colOff>514350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A3AD17-E4B3-4C3B-ACCA-7529DDE53D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7</xdr:row>
      <xdr:rowOff>180975</xdr:rowOff>
    </xdr:from>
    <xdr:to>
      <xdr:col>23</xdr:col>
      <xdr:colOff>819150</xdr:colOff>
      <xdr:row>16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B1716B4-95A0-D391-6ED7-228FC3FC3C47}"/>
            </a:ext>
            <a:ext uri="{147F2762-F138-4A5C-976F-8EAC2B608ADB}">
              <a16:predDERef xmlns:a16="http://schemas.microsoft.com/office/drawing/2014/main" pred="{4BA3AD17-E4B3-4C3B-ACCA-7529DDE53D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28575</xdr:colOff>
      <xdr:row>23</xdr:row>
      <xdr:rowOff>57150</xdr:rowOff>
    </xdr:from>
    <xdr:to>
      <xdr:col>23</xdr:col>
      <xdr:colOff>790575</xdr:colOff>
      <xdr:row>32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3E3ED57-46A2-53BD-4722-83A34C264EBE}"/>
            </a:ext>
            <a:ext uri="{147F2762-F138-4A5C-976F-8EAC2B608ADB}">
              <a16:predDERef xmlns:a16="http://schemas.microsoft.com/office/drawing/2014/main" pred="{BB1716B4-95A0-D391-6ED7-228FC3FC3C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152400</xdr:colOff>
      <xdr:row>24</xdr:row>
      <xdr:rowOff>171450</xdr:rowOff>
    </xdr:from>
    <xdr:to>
      <xdr:col>2</xdr:col>
      <xdr:colOff>0</xdr:colOff>
      <xdr:row>35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335A43-4411-FCFE-02E9-1CE0F6613496}"/>
            </a:ext>
            <a:ext uri="{147F2762-F138-4A5C-976F-8EAC2B608ADB}">
              <a16:predDERef xmlns:a16="http://schemas.microsoft.com/office/drawing/2014/main" pred="{D3E3ED57-46A2-53BD-4722-83A34C264E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1619250</xdr:colOff>
      <xdr:row>25</xdr:row>
      <xdr:rowOff>95250</xdr:rowOff>
    </xdr:from>
    <xdr:to>
      <xdr:col>7</xdr:col>
      <xdr:colOff>533400</xdr:colOff>
      <xdr:row>34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305504-2D4A-4368-965F-A5539C037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171450</xdr:colOff>
      <xdr:row>7</xdr:row>
      <xdr:rowOff>142875</xdr:rowOff>
    </xdr:from>
    <xdr:to>
      <xdr:col>24</xdr:col>
      <xdr:colOff>876300</xdr:colOff>
      <xdr:row>18</xdr:row>
      <xdr:rowOff>76200</xdr:rowOff>
    </xdr:to>
    <xdr:graphicFrame macro="">
      <xdr:nvGraphicFramePr>
        <xdr:cNvPr id="9" name="Diagramma 8">
          <a:extLst>
            <a:ext uri="{FF2B5EF4-FFF2-40B4-BE49-F238E27FC236}">
              <a16:creationId xmlns:a16="http://schemas.microsoft.com/office/drawing/2014/main" id="{0F1D33E4-B37A-4E9A-F146-7937115BF99F}"/>
            </a:ext>
            <a:ext uri="{147F2762-F138-4A5C-976F-8EAC2B608ADB}">
              <a16:predDERef xmlns:a16="http://schemas.microsoft.com/office/drawing/2014/main" pred="{47305504-2D4A-4368-965F-A5539C037D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9525</xdr:colOff>
      <xdr:row>25</xdr:row>
      <xdr:rowOff>76200</xdr:rowOff>
    </xdr:from>
    <xdr:to>
      <xdr:col>24</xdr:col>
      <xdr:colOff>809625</xdr:colOff>
      <xdr:row>34</xdr:row>
      <xdr:rowOff>123825</xdr:rowOff>
    </xdr:to>
    <xdr:graphicFrame macro="">
      <xdr:nvGraphicFramePr>
        <xdr:cNvPr id="10" name="Diagramma 9">
          <a:extLst>
            <a:ext uri="{FF2B5EF4-FFF2-40B4-BE49-F238E27FC236}">
              <a16:creationId xmlns:a16="http://schemas.microsoft.com/office/drawing/2014/main" id="{36579B53-1787-059D-8752-DC653789460A}"/>
            </a:ext>
            <a:ext uri="{147F2762-F138-4A5C-976F-8EAC2B608ADB}">
              <a16:predDERef xmlns:a16="http://schemas.microsoft.com/office/drawing/2014/main" pred="{0F1D33E4-B37A-4E9A-F146-7937115BF9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25</xdr:row>
      <xdr:rowOff>76200</xdr:rowOff>
    </xdr:from>
    <xdr:to>
      <xdr:col>1</xdr:col>
      <xdr:colOff>1419225</xdr:colOff>
      <xdr:row>34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A09C44-B8A5-2A42-1AFE-E16915112A9A}"/>
            </a:ext>
            <a:ext uri="{147F2762-F138-4A5C-976F-8EAC2B608ADB}">
              <a16:predDERef xmlns:a16="http://schemas.microsoft.com/office/drawing/2014/main" pred="{36579B53-1787-059D-8752-DC65378946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25</xdr:row>
      <xdr:rowOff>104775</xdr:rowOff>
    </xdr:from>
    <xdr:to>
      <xdr:col>9</xdr:col>
      <xdr:colOff>561975</xdr:colOff>
      <xdr:row>33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8FC813-1A87-49C8-B3EB-DE88590D7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161925</xdr:colOff>
      <xdr:row>24</xdr:row>
      <xdr:rowOff>104775</xdr:rowOff>
    </xdr:from>
    <xdr:to>
      <xdr:col>25</xdr:col>
      <xdr:colOff>485775</xdr:colOff>
      <xdr:row>33</xdr:row>
      <xdr:rowOff>9525</xdr:rowOff>
    </xdr:to>
    <xdr:graphicFrame macro="">
      <xdr:nvGraphicFramePr>
        <xdr:cNvPr id="5" name="Diagramma 9">
          <a:extLst>
            <a:ext uri="{FF2B5EF4-FFF2-40B4-BE49-F238E27FC236}">
              <a16:creationId xmlns:a16="http://schemas.microsoft.com/office/drawing/2014/main" id="{37D9DA90-7635-2D5F-2D71-E3E6AC7331E5}"/>
            </a:ext>
            <a:ext uri="{147F2762-F138-4A5C-976F-8EAC2B608ADB}">
              <a16:predDERef xmlns:a16="http://schemas.microsoft.com/office/drawing/2014/main" pred="{DD8FC813-1A87-49C8-B3EB-DE88590D7F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76200</xdr:rowOff>
    </xdr:from>
    <xdr:to>
      <xdr:col>1</xdr:col>
      <xdr:colOff>1981200</xdr:colOff>
      <xdr:row>33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67C8D7A-E964-248B-AFFD-CA04C001EBE7}"/>
            </a:ext>
            <a:ext uri="{147F2762-F138-4A5C-976F-8EAC2B608ADB}">
              <a16:predDERef xmlns:a16="http://schemas.microsoft.com/office/drawing/2014/main" pred="{37D9DA90-7635-2D5F-2D71-E3E6AC7331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180975</xdr:colOff>
      <xdr:row>7</xdr:row>
      <xdr:rowOff>123825</xdr:rowOff>
    </xdr:from>
    <xdr:to>
      <xdr:col>25</xdr:col>
      <xdr:colOff>485775</xdr:colOff>
      <xdr:row>18</xdr:row>
      <xdr:rowOff>133350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965B08E-22AE-60A6-E116-B78F96E7A3FB}"/>
            </a:ext>
            <a:ext uri="{147F2762-F138-4A5C-976F-8EAC2B608ADB}">
              <a16:predDERef xmlns:a16="http://schemas.microsoft.com/office/drawing/2014/main" pred="{867C8D7A-E964-248B-AFFD-CA04C001EB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214312</xdr:colOff>
      <xdr:row>8</xdr:row>
      <xdr:rowOff>95249</xdr:rowOff>
    </xdr:from>
    <xdr:to>
      <xdr:col>11</xdr:col>
      <xdr:colOff>0</xdr:colOff>
      <xdr:row>19</xdr:row>
      <xdr:rowOff>104774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58813F04-C374-B6F2-52E8-8CDF8460E382}"/>
            </a:ext>
            <a:ext uri="{147F2762-F138-4A5C-976F-8EAC2B608ADB}">
              <a16:predDERef xmlns:a16="http://schemas.microsoft.com/office/drawing/2014/main" pred="{8C9DA677-1F02-4F57-A32F-E8E03ED94D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47625</xdr:colOff>
      <xdr:row>8</xdr:row>
      <xdr:rowOff>0</xdr:rowOff>
    </xdr:from>
    <xdr:to>
      <xdr:col>25</xdr:col>
      <xdr:colOff>561975</xdr:colOff>
      <xdr:row>18</xdr:row>
      <xdr:rowOff>161925</xdr:rowOff>
    </xdr:to>
    <xdr:graphicFrame macro="">
      <xdr:nvGraphicFramePr>
        <xdr:cNvPr id="3" name="Diagramma 8">
          <a:extLst>
            <a:ext uri="{FF2B5EF4-FFF2-40B4-BE49-F238E27FC236}">
              <a16:creationId xmlns:a16="http://schemas.microsoft.com/office/drawing/2014/main" id="{F05AE356-A558-C114-4B82-DA58DCE5A002}"/>
            </a:ext>
            <a:ext uri="{147F2762-F138-4A5C-976F-8EAC2B608ADB}">
              <a16:predDERef xmlns:a16="http://schemas.microsoft.com/office/drawing/2014/main" pred="{58813F04-C374-B6F2-52E8-8CDF8460E3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28575</xdr:colOff>
      <xdr:row>27</xdr:row>
      <xdr:rowOff>0</xdr:rowOff>
    </xdr:from>
    <xdr:to>
      <xdr:col>25</xdr:col>
      <xdr:colOff>533400</xdr:colOff>
      <xdr:row>35</xdr:row>
      <xdr:rowOff>104775</xdr:rowOff>
    </xdr:to>
    <xdr:graphicFrame macro="">
      <xdr:nvGraphicFramePr>
        <xdr:cNvPr id="6" name="Diagramma 9">
          <a:extLst>
            <a:ext uri="{FF2B5EF4-FFF2-40B4-BE49-F238E27FC236}">
              <a16:creationId xmlns:a16="http://schemas.microsoft.com/office/drawing/2014/main" id="{C3AAE5C3-4C66-FB59-6CFF-54D4FAB878EC}"/>
            </a:ext>
            <a:ext uri="{147F2762-F138-4A5C-976F-8EAC2B608ADB}">
              <a16:predDERef xmlns:a16="http://schemas.microsoft.com/office/drawing/2014/main" pred="{F05AE356-A558-C114-4B82-DA58DCE5A0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161925</xdr:colOff>
      <xdr:row>24</xdr:row>
      <xdr:rowOff>47625</xdr:rowOff>
    </xdr:from>
    <xdr:to>
      <xdr:col>1</xdr:col>
      <xdr:colOff>1362075</xdr:colOff>
      <xdr:row>34</xdr:row>
      <xdr:rowOff>161925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CD4536D-25DC-82A1-99CD-1FD70996CD26}"/>
            </a:ext>
            <a:ext uri="{147F2762-F138-4A5C-976F-8EAC2B608ADB}">
              <a16:predDERef xmlns:a16="http://schemas.microsoft.com/office/drawing/2014/main" pred="{C3AAE5C3-4C66-FB59-6CFF-54D4FAB878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24</xdr:row>
      <xdr:rowOff>38100</xdr:rowOff>
    </xdr:from>
    <xdr:to>
      <xdr:col>9</xdr:col>
      <xdr:colOff>514350</xdr:colOff>
      <xdr:row>34</xdr:row>
      <xdr:rowOff>161925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01A7D38-0E0F-85F9-C548-BCE6DABC8DCC}"/>
            </a:ext>
            <a:ext uri="{147F2762-F138-4A5C-976F-8EAC2B608ADB}">
              <a16:predDERef xmlns:a16="http://schemas.microsoft.com/office/drawing/2014/main" pred="{BCD4536D-25DC-82A1-99CD-1FD70996CD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ffice_Franzoni &amp; Co" id="{446468AD-5876-47C4-A3F4-EB9EE2D58BB2}" userId="S::office@franzoni-co.com::28c45457-cb33-41de-a251-7d72ffa747b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5" dT="2024-12-02T07:59:39.06" personId="{446468AD-5876-47C4-A3F4-EB9EE2D58BB2}" id="{075BD8D7-31BE-4F19-8F36-CD1E9E21EB30}">
    <text>11/2024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8" dT="2024-08-26T07:38:02.19" personId="{446468AD-5876-47C4-A3F4-EB9EE2D58BB2}" id="{63099E75-598A-418C-9CC3-C57DCC061057}">
    <text>Simone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K8" dT="2024-07-23T09:21:45.69" personId="{446468AD-5876-47C4-A3F4-EB9EE2D58BB2}" id="{E7ADBD4D-AD2D-4080-913A-84573CC880E2}">
    <text>Amross SIA</text>
  </threadedComment>
  <threadedComment ref="K8" dT="2024-08-12T06:44:27.48" personId="{446468AD-5876-47C4-A3F4-EB9EE2D58BB2}" id="{662AEC20-9560-4E62-AD43-C95FCFF6CBE1}" parentId="{E7ADBD4D-AD2D-4080-913A-84573CC880E2}">
    <text>Amross, GSC</text>
  </threadedComment>
</ThreadedComment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8.xml"/><Relationship Id="rId4" Type="http://schemas.microsoft.com/office/2017/10/relationships/threadedComment" Target="../threadedComments/threadedComment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0.xml"/><Relationship Id="rId4" Type="http://schemas.microsoft.com/office/2017/10/relationships/threadedComment" Target="../threadedComments/threadedComment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7.xml"/><Relationship Id="rId4" Type="http://schemas.microsoft.com/office/2017/10/relationships/threadedComment" Target="../threadedComments/threadedComment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C2111-AAA8-414B-B57F-B9120D993B0F}">
  <dimension ref="A1:AO33"/>
  <sheetViews>
    <sheetView tabSelected="1" workbookViewId="0">
      <pane xSplit="1" topLeftCell="Q1" activePane="topRight" state="frozen"/>
      <selection pane="topRight" activeCell="AC23" sqref="AC23"/>
    </sheetView>
  </sheetViews>
  <sheetFormatPr defaultRowHeight="15" outlineLevelRow="1"/>
  <cols>
    <col min="1" max="1" width="26.85546875" customWidth="1"/>
    <col min="2" max="2" width="9.7109375" style="263" bestFit="1" customWidth="1"/>
    <col min="3" max="3" width="9.140625" style="263" bestFit="1" customWidth="1"/>
    <col min="4" max="4" width="8.5703125" style="263" bestFit="1" customWidth="1"/>
    <col min="5" max="5" width="9.140625" style="263" customWidth="1"/>
    <col min="6" max="6" width="8.7109375" style="263" customWidth="1"/>
    <col min="7" max="7" width="9.140625" style="263" bestFit="1" customWidth="1"/>
    <col min="8" max="8" width="9.85546875" style="263" customWidth="1"/>
    <col min="9" max="9" width="9.28515625" style="263" bestFit="1" customWidth="1"/>
    <col min="10" max="10" width="9.28515625" style="263" customWidth="1"/>
    <col min="11" max="12" width="9.140625" style="263" bestFit="1" customWidth="1"/>
    <col min="13" max="13" width="8.28515625" style="263" customWidth="1"/>
    <col min="14" max="16" width="9.140625" style="263" bestFit="1" customWidth="1"/>
    <col min="17" max="17" width="8.140625" style="263" bestFit="1" customWidth="1"/>
    <col min="18" max="18" width="8.140625" style="263" customWidth="1"/>
    <col min="19" max="19" width="11.28515625" style="263" bestFit="1" customWidth="1"/>
    <col min="20" max="20" width="9.140625" style="263" bestFit="1" customWidth="1"/>
    <col min="21" max="21" width="9.7109375" style="263" customWidth="1"/>
    <col min="22" max="23" width="9.140625" style="263" bestFit="1" customWidth="1"/>
    <col min="24" max="24" width="8.7109375" style="263" bestFit="1" customWidth="1"/>
    <col min="25" max="25" width="8.7109375" style="263" customWidth="1"/>
    <col min="26" max="26" width="8.140625" style="263" bestFit="1" customWidth="1"/>
    <col min="29" max="29" width="12.85546875" customWidth="1"/>
  </cols>
  <sheetData>
    <row r="1" spans="1:41">
      <c r="B1" s="263">
        <v>1</v>
      </c>
      <c r="C1" s="263">
        <v>2</v>
      </c>
      <c r="D1" s="263">
        <v>3</v>
      </c>
      <c r="E1" s="263">
        <v>4</v>
      </c>
      <c r="F1" s="263">
        <v>5</v>
      </c>
      <c r="G1" s="263">
        <v>6</v>
      </c>
      <c r="H1" s="263">
        <v>7</v>
      </c>
      <c r="I1" s="263">
        <v>8</v>
      </c>
      <c r="J1" s="263">
        <v>9</v>
      </c>
      <c r="K1" s="263">
        <v>10</v>
      </c>
      <c r="L1" s="263">
        <v>11</v>
      </c>
      <c r="M1" s="263">
        <v>12</v>
      </c>
      <c r="N1" s="263">
        <v>13</v>
      </c>
      <c r="O1" s="263">
        <v>14</v>
      </c>
      <c r="P1" s="263">
        <v>15</v>
      </c>
      <c r="Q1" s="263">
        <v>16</v>
      </c>
      <c r="R1" s="263">
        <v>17</v>
      </c>
      <c r="S1" s="263">
        <v>18</v>
      </c>
      <c r="T1" s="263">
        <v>19</v>
      </c>
      <c r="U1" s="263">
        <v>20</v>
      </c>
      <c r="V1" s="263">
        <v>21</v>
      </c>
      <c r="W1" s="262">
        <v>22</v>
      </c>
      <c r="X1" s="262">
        <v>23</v>
      </c>
      <c r="Y1" s="263">
        <v>24</v>
      </c>
      <c r="Z1" s="263">
        <v>25</v>
      </c>
      <c r="AA1">
        <v>26</v>
      </c>
      <c r="AB1">
        <v>27</v>
      </c>
    </row>
    <row r="2" spans="1:41">
      <c r="A2" s="182"/>
      <c r="B2" s="264" t="str">
        <f>'CALZ MOS'!A1</f>
        <v>MOS</v>
      </c>
      <c r="C2" s="264" t="str">
        <f>'INT GAL'!A1</f>
        <v>GAL</v>
      </c>
      <c r="D2" s="264" t="str">
        <f>SWR!A1</f>
        <v>SWA</v>
      </c>
      <c r="E2" s="264" t="str">
        <f>KOB!A1</f>
        <v>KOB</v>
      </c>
      <c r="F2" s="264" t="str">
        <f>VIL!A1</f>
        <v>VIL</v>
      </c>
      <c r="G2" s="264" t="str">
        <f>BRA!A1</f>
        <v>BRA</v>
      </c>
      <c r="H2" s="264" t="str">
        <f>GRA!A1</f>
        <v>GRA</v>
      </c>
      <c r="I2" s="265" t="str">
        <f>KLA!A1</f>
        <v>KLA</v>
      </c>
      <c r="J2" s="266" t="str">
        <f>WDON!A1</f>
        <v>WDON</v>
      </c>
      <c r="K2" s="265" t="str">
        <f>STO!A1</f>
        <v>STO</v>
      </c>
      <c r="L2" s="265" t="str">
        <f>LEI!A1</f>
        <v>LEI</v>
      </c>
      <c r="M2" s="265" t="str">
        <f>MAT!A1</f>
        <v>MAT</v>
      </c>
      <c r="N2" s="265" t="str">
        <f>OLA!A1</f>
        <v>OLA</v>
      </c>
      <c r="O2" s="265" t="str">
        <f>FRA!A1</f>
        <v>FRA</v>
      </c>
      <c r="P2" s="265" t="str">
        <f>LULU!A1</f>
        <v>LULU</v>
      </c>
      <c r="Q2" s="265" t="str">
        <f>STK!A1</f>
        <v>STK</v>
      </c>
      <c r="R2" s="265" t="str">
        <f>SEI!A1</f>
        <v>SEI</v>
      </c>
      <c r="S2" s="265" t="str">
        <f>KRE!A1</f>
        <v>KRE</v>
      </c>
      <c r="T2" s="265" t="str">
        <f>WIE!A1</f>
        <v>WIE</v>
      </c>
      <c r="U2" s="603" t="str">
        <f>BERG!A1</f>
        <v>BERG</v>
      </c>
      <c r="V2" s="265" t="str">
        <f>LIN!A1</f>
        <v>LIN</v>
      </c>
      <c r="W2" s="265" t="str">
        <f>LULU2!A1</f>
        <v>LULU2</v>
      </c>
      <c r="X2" s="265" t="str">
        <f>ING!A1</f>
        <v>ING</v>
      </c>
      <c r="Y2" s="265" t="str">
        <f>MUN!A1</f>
        <v>MUN</v>
      </c>
      <c r="Z2" s="265" t="str">
        <f>'WIE2'!A1</f>
        <v>WIE2</v>
      </c>
      <c r="AA2" s="605" t="str">
        <f>HAM!A1</f>
        <v>HAM</v>
      </c>
      <c r="AB2" s="265" t="str">
        <f>SPICE!A1</f>
        <v xml:space="preserve">SPICE </v>
      </c>
      <c r="AC2" s="485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>
      <c r="A3" s="155" t="s">
        <v>0</v>
      </c>
      <c r="B3" s="267">
        <f>'CALZ MOS'!M4</f>
        <v>43564.77</v>
      </c>
      <c r="C3" s="267">
        <f>'INT GAL'!M4</f>
        <v>56957.32</v>
      </c>
      <c r="D3" s="267">
        <f>SWR!K4</f>
        <v>14988.39</v>
      </c>
      <c r="E3" s="267">
        <f>KOB!K4</f>
        <v>48000</v>
      </c>
      <c r="F3" s="267">
        <f>VIL!K4</f>
        <v>48000</v>
      </c>
      <c r="G3" s="267">
        <f>BRA!M4</f>
        <v>136747.57</v>
      </c>
      <c r="H3" s="267">
        <f>GRA!O4</f>
        <v>41000</v>
      </c>
      <c r="I3" s="268">
        <f>KLA!K4</f>
        <v>12955.25</v>
      </c>
      <c r="J3" s="320">
        <f>WDON!K4</f>
        <v>43500</v>
      </c>
      <c r="K3" s="268">
        <f>STO!M4</f>
        <v>50368.84</v>
      </c>
      <c r="L3" s="268">
        <f>LEI!K4</f>
        <v>72434.83</v>
      </c>
      <c r="M3" s="268">
        <f>MAT!S4</f>
        <v>40811.18</v>
      </c>
      <c r="N3" s="268">
        <f>OLA!M4</f>
        <v>129183.05</v>
      </c>
      <c r="O3" s="268">
        <f>FRA!U4</f>
        <v>119402.13</v>
      </c>
      <c r="P3" s="268">
        <f>LULU!M4</f>
        <v>630472.07999999996</v>
      </c>
      <c r="Q3" s="268">
        <f>STK!M4+STK!M5</f>
        <v>7504.45</v>
      </c>
      <c r="R3" s="268">
        <f>SEI!M4</f>
        <v>68000</v>
      </c>
      <c r="S3" s="268">
        <v>40000</v>
      </c>
      <c r="T3" s="590">
        <f>WIE!K4</f>
        <v>39000</v>
      </c>
      <c r="U3" s="590">
        <f>BERG!M4</f>
        <v>71500</v>
      </c>
      <c r="V3" s="268">
        <f>LIN!K4</f>
        <v>55000</v>
      </c>
      <c r="W3" s="268">
        <f>LULU2!K4</f>
        <v>12910</v>
      </c>
      <c r="X3" s="268">
        <f>ING!K4</f>
        <v>59000</v>
      </c>
      <c r="Y3" s="268">
        <f>MUN!K4</f>
        <v>89825.47</v>
      </c>
      <c r="Z3" s="268">
        <f>'WIE2'!K4</f>
        <v>83000</v>
      </c>
      <c r="AA3" s="606">
        <f>HAM!K4</f>
        <v>57000</v>
      </c>
      <c r="AB3" s="268">
        <f>SPICE!K4</f>
        <v>4728.1899999999996</v>
      </c>
      <c r="AC3" s="485">
        <f>SUM(B3:AB3)</f>
        <v>2075853.52</v>
      </c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>
      <c r="A4" s="155" t="s">
        <v>1</v>
      </c>
      <c r="B4" s="267">
        <f>'CALZ MOS'!M5</f>
        <v>11547.57</v>
      </c>
      <c r="C4" s="267">
        <f>'INT GAL'!M5</f>
        <v>1963.79</v>
      </c>
      <c r="D4" s="267">
        <f>SWR!K5</f>
        <v>-1611.38</v>
      </c>
      <c r="E4" s="267">
        <f>KOB!K5</f>
        <v>7924.07</v>
      </c>
      <c r="F4" s="267">
        <f>VIL!K5</f>
        <v>4875.2299999999996</v>
      </c>
      <c r="G4" s="267">
        <f>BRA!M5</f>
        <v>9121.36</v>
      </c>
      <c r="H4" s="267">
        <f>GRA!O5</f>
        <v>5715.75</v>
      </c>
      <c r="I4" s="268">
        <f>KLA!K5</f>
        <v>2797.7</v>
      </c>
      <c r="J4" s="320">
        <f>WDON!K5</f>
        <v>0</v>
      </c>
      <c r="K4" s="268">
        <f>STO!M5</f>
        <v>17392.32</v>
      </c>
      <c r="L4" s="268">
        <f>LEI!K5</f>
        <v>14891.4</v>
      </c>
      <c r="M4" s="268">
        <f>MAT!S5</f>
        <v>47337.07</v>
      </c>
      <c r="N4" s="268">
        <f>OLA!M5</f>
        <v>1728</v>
      </c>
      <c r="O4" s="268">
        <f>FRA!U5</f>
        <v>52684.170000000006</v>
      </c>
      <c r="P4" s="268">
        <f>LULU!M5</f>
        <v>0</v>
      </c>
      <c r="Q4" s="268">
        <f>STK!M11</f>
        <v>0</v>
      </c>
      <c r="R4" s="268">
        <f>SEI!M5</f>
        <v>5896.3</v>
      </c>
      <c r="S4" s="268">
        <f>KRE!M5</f>
        <v>0</v>
      </c>
      <c r="T4" s="590">
        <f>WIE!K5</f>
        <v>0</v>
      </c>
      <c r="U4" s="590">
        <f>BERG!M5</f>
        <v>17228.250000000004</v>
      </c>
      <c r="V4" s="590">
        <f>LIN!K5</f>
        <v>0</v>
      </c>
      <c r="W4" s="268">
        <f>LULU2!K5</f>
        <v>11947.66</v>
      </c>
      <c r="X4" s="268">
        <f>ING!K5</f>
        <v>3500</v>
      </c>
      <c r="Y4" s="590">
        <f>MUN!K5</f>
        <v>2703.54</v>
      </c>
      <c r="Z4" s="590">
        <f>'WIE2'!K5</f>
        <v>0</v>
      </c>
      <c r="AA4" s="607">
        <f>HAM!K5</f>
        <v>7030.01</v>
      </c>
      <c r="AB4" s="590">
        <f>SPICE!K5</f>
        <v>0</v>
      </c>
      <c r="AC4" s="485">
        <f>SUM(B4:AB4)</f>
        <v>224672.81000000003</v>
      </c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</row>
    <row r="5" spans="1:41">
      <c r="A5" s="182" t="s">
        <v>2</v>
      </c>
      <c r="B5" s="267">
        <f>B3+B4</f>
        <v>55112.34</v>
      </c>
      <c r="C5" s="267">
        <f t="shared" ref="C5:W5" si="0">C3+C4</f>
        <v>58921.11</v>
      </c>
      <c r="D5" s="267">
        <f t="shared" si="0"/>
        <v>13377.009999999998</v>
      </c>
      <c r="E5" s="267">
        <f t="shared" si="0"/>
        <v>55924.07</v>
      </c>
      <c r="F5" s="267">
        <f t="shared" si="0"/>
        <v>52875.229999999996</v>
      </c>
      <c r="G5" s="267">
        <f t="shared" si="0"/>
        <v>145868.93</v>
      </c>
      <c r="H5" s="267">
        <f t="shared" si="0"/>
        <v>46715.75</v>
      </c>
      <c r="I5" s="268">
        <f t="shared" si="0"/>
        <v>15752.95</v>
      </c>
      <c r="J5" s="320">
        <f t="shared" si="0"/>
        <v>43500</v>
      </c>
      <c r="K5" s="268">
        <f t="shared" si="0"/>
        <v>67761.16</v>
      </c>
      <c r="L5" s="268">
        <f t="shared" si="0"/>
        <v>87326.23</v>
      </c>
      <c r="M5" s="268">
        <f t="shared" si="0"/>
        <v>88148.25</v>
      </c>
      <c r="N5" s="268">
        <f t="shared" si="0"/>
        <v>130911.05</v>
      </c>
      <c r="O5" s="268">
        <f t="shared" si="0"/>
        <v>172086.30000000002</v>
      </c>
      <c r="P5" s="268">
        <f t="shared" si="0"/>
        <v>630472.07999999996</v>
      </c>
      <c r="Q5" s="268">
        <f t="shared" si="0"/>
        <v>7504.45</v>
      </c>
      <c r="R5" s="268">
        <f t="shared" si="0"/>
        <v>73896.3</v>
      </c>
      <c r="S5" s="268">
        <f t="shared" si="0"/>
        <v>40000</v>
      </c>
      <c r="T5" s="268">
        <f t="shared" si="0"/>
        <v>39000</v>
      </c>
      <c r="U5" s="590">
        <f t="shared" si="0"/>
        <v>88728.25</v>
      </c>
      <c r="V5" s="268">
        <f t="shared" si="0"/>
        <v>55000</v>
      </c>
      <c r="W5" s="268">
        <f t="shared" si="0"/>
        <v>24857.66</v>
      </c>
      <c r="X5" s="268">
        <f>X4+X3</f>
        <v>62500</v>
      </c>
      <c r="Y5" s="268">
        <f>Y4+Y3</f>
        <v>92529.01</v>
      </c>
      <c r="Z5" s="268">
        <f>Z4+Z3</f>
        <v>83000</v>
      </c>
      <c r="AA5" s="606">
        <f>AA4+AA3</f>
        <v>64030.01</v>
      </c>
      <c r="AB5" s="268">
        <f>AB4+AB3</f>
        <v>4728.1899999999996</v>
      </c>
      <c r="AC5" s="485">
        <f>SUM(B5:AB5)</f>
        <v>2300526.3299999996</v>
      </c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</row>
    <row r="6" spans="1:41" ht="30.75" customHeight="1">
      <c r="A6" s="182" t="s">
        <v>3</v>
      </c>
      <c r="B6" s="293" t="s">
        <v>4</v>
      </c>
      <c r="C6" s="269" t="s">
        <v>4</v>
      </c>
      <c r="D6" s="269" t="s">
        <v>5</v>
      </c>
      <c r="E6" s="269" t="s">
        <v>6</v>
      </c>
      <c r="F6" s="269" t="s">
        <v>7</v>
      </c>
      <c r="G6" s="269" t="s">
        <v>4</v>
      </c>
      <c r="H6" s="269" t="s">
        <v>7</v>
      </c>
      <c r="I6" s="270" t="s">
        <v>8</v>
      </c>
      <c r="J6" s="271" t="s">
        <v>7</v>
      </c>
      <c r="K6" s="273" t="s">
        <v>5</v>
      </c>
      <c r="L6" s="273" t="s">
        <v>4</v>
      </c>
      <c r="M6" s="273" t="s">
        <v>6</v>
      </c>
      <c r="N6" s="273" t="s">
        <v>6</v>
      </c>
      <c r="O6" s="273" t="s">
        <v>8</v>
      </c>
      <c r="P6" s="273" t="s">
        <v>4</v>
      </c>
      <c r="Q6" s="292" t="s">
        <v>8</v>
      </c>
      <c r="R6" s="292" t="s">
        <v>4</v>
      </c>
      <c r="S6" s="591" t="s">
        <v>9</v>
      </c>
      <c r="T6" s="273" t="s">
        <v>4</v>
      </c>
      <c r="U6" s="316" t="s">
        <v>4</v>
      </c>
      <c r="V6" s="273" t="s">
        <v>4</v>
      </c>
      <c r="W6" s="273" t="s">
        <v>4</v>
      </c>
      <c r="X6" s="582" t="s">
        <v>9</v>
      </c>
      <c r="Y6" s="582" t="s">
        <v>10</v>
      </c>
      <c r="Z6" s="273" t="s">
        <v>6</v>
      </c>
      <c r="AA6" s="608" t="s">
        <v>11</v>
      </c>
      <c r="AB6" s="273"/>
      <c r="AC6" s="485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</row>
    <row r="7" spans="1:41">
      <c r="A7" s="155"/>
      <c r="B7" s="274"/>
      <c r="C7" s="274"/>
      <c r="D7" s="274"/>
      <c r="E7" s="274"/>
      <c r="F7" s="274"/>
      <c r="G7" s="274"/>
      <c r="H7" s="274"/>
      <c r="I7" s="273"/>
      <c r="J7" s="272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316"/>
      <c r="V7" s="273"/>
      <c r="W7" s="273"/>
      <c r="X7" s="273"/>
      <c r="Y7" s="273"/>
      <c r="Z7" s="273"/>
      <c r="AA7" s="608"/>
      <c r="AB7" s="273"/>
      <c r="AC7" s="485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</row>
    <row r="8" spans="1:41">
      <c r="A8" s="182" t="s">
        <v>12</v>
      </c>
      <c r="B8" s="275">
        <f>'CALZ MOS'!Z6</f>
        <v>537</v>
      </c>
      <c r="C8" s="275">
        <f>'INT GAL'!Z6</f>
        <v>511</v>
      </c>
      <c r="D8" s="275">
        <f>SWR!Y6</f>
        <v>97.25</v>
      </c>
      <c r="E8" s="275">
        <f>KOB!M6</f>
        <v>214</v>
      </c>
      <c r="F8" s="275">
        <f>VIL!X6</f>
        <v>597.08000000000004</v>
      </c>
      <c r="G8" s="275">
        <f>BRA!Z6</f>
        <v>1494.02</v>
      </c>
      <c r="H8" s="275">
        <f>GRA!AB6</f>
        <v>489.05</v>
      </c>
      <c r="I8" s="276">
        <f>KLA!X6</f>
        <v>217.35</v>
      </c>
      <c r="J8" s="277">
        <f>WDON!X6</f>
        <v>496.87</v>
      </c>
      <c r="K8" s="278">
        <f>STO!Z6</f>
        <v>730</v>
      </c>
      <c r="L8" s="278">
        <f>LEI!X6</f>
        <v>840</v>
      </c>
      <c r="M8" s="278">
        <f>MAT!AG6</f>
        <v>560</v>
      </c>
      <c r="N8" s="278">
        <f>OLA!Z6</f>
        <v>1139.51</v>
      </c>
      <c r="O8" s="278">
        <f>FRA!AI6</f>
        <v>904.59</v>
      </c>
      <c r="P8" s="278">
        <f>LULU!Z6</f>
        <v>3502.97</v>
      </c>
      <c r="Q8" s="278">
        <f>STK!Z6</f>
        <v>0</v>
      </c>
      <c r="R8" s="278">
        <f>SEI!AA6</f>
        <v>715.22</v>
      </c>
      <c r="S8" s="278">
        <f>KRE!Z6</f>
        <v>363</v>
      </c>
      <c r="T8" s="278">
        <f>WIE!X6</f>
        <v>375.75</v>
      </c>
      <c r="U8" s="317">
        <f>BERG!Y6</f>
        <v>992.72</v>
      </c>
      <c r="V8" s="278">
        <f>LIN!X6</f>
        <v>680</v>
      </c>
      <c r="W8" s="278">
        <f>LULU2!Z6</f>
        <v>0</v>
      </c>
      <c r="X8" s="278">
        <f>ING!Y6</f>
        <v>624.51</v>
      </c>
      <c r="Y8" s="278">
        <f>MUN!W6</f>
        <v>1055.8</v>
      </c>
      <c r="Z8" s="278">
        <f>'WIE2'!W6</f>
        <v>826</v>
      </c>
      <c r="AA8" s="609">
        <f>HAM!W6</f>
        <v>495.97</v>
      </c>
      <c r="AB8" s="278"/>
      <c r="AC8" s="485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spans="1:41">
      <c r="A9" s="182" t="s">
        <v>13</v>
      </c>
      <c r="B9" s="269">
        <f>'CALZ MOS'!Z7</f>
        <v>797.95</v>
      </c>
      <c r="C9" s="269">
        <f>'INT GAL'!Z7</f>
        <v>595.38</v>
      </c>
      <c r="D9" s="275">
        <f>SWR!Y7</f>
        <v>62.5</v>
      </c>
      <c r="E9" s="269">
        <f>KOB!M7</f>
        <v>207.60999999999999</v>
      </c>
      <c r="F9" s="269">
        <f>VIL!X7</f>
        <v>522.18000000000006</v>
      </c>
      <c r="G9" s="269">
        <f>BRA!Z7</f>
        <v>1444.72</v>
      </c>
      <c r="H9" s="269">
        <f>GRA!AB7</f>
        <v>428.3</v>
      </c>
      <c r="I9" s="276">
        <f>KLA!X7</f>
        <v>205.51</v>
      </c>
      <c r="J9" s="277">
        <f>WDON!X7</f>
        <v>398.31</v>
      </c>
      <c r="K9" s="273">
        <f>STO!Z7</f>
        <v>0</v>
      </c>
      <c r="L9" s="273">
        <f>LEI!X7</f>
        <v>783.32</v>
      </c>
      <c r="M9" s="273">
        <f>MAT!AG7</f>
        <v>554.45999999999992</v>
      </c>
      <c r="N9" s="273">
        <f>OLA!Z7</f>
        <v>1304.1599999999999</v>
      </c>
      <c r="O9" s="273">
        <f>FRA!AI7</f>
        <v>1076.1999999999998</v>
      </c>
      <c r="P9" s="278">
        <f>LULU!Z7</f>
        <v>3437.3100000000004</v>
      </c>
      <c r="Q9" s="273">
        <f>STK!Z7</f>
        <v>87.789999999999992</v>
      </c>
      <c r="R9" s="273">
        <f>SEI!AA7</f>
        <v>826.23</v>
      </c>
      <c r="S9" s="273">
        <f>KRE!Z7</f>
        <v>400.46999999999997</v>
      </c>
      <c r="T9" s="278">
        <f>WIE!X7</f>
        <v>240.47</v>
      </c>
      <c r="U9" s="317">
        <f>BERG!Y7</f>
        <v>1391.0900000000001</v>
      </c>
      <c r="V9" s="273">
        <f>LIN!X7</f>
        <v>598.78</v>
      </c>
      <c r="W9" s="278">
        <f>LULU2!Z7</f>
        <v>200.75</v>
      </c>
      <c r="X9" s="278">
        <f>ING!Y7</f>
        <v>801.15</v>
      </c>
      <c r="Y9" s="278">
        <f>MUN!W7</f>
        <v>1107.98</v>
      </c>
      <c r="Z9" s="278">
        <f>'WIE2'!W7</f>
        <v>841.17</v>
      </c>
      <c r="AA9" s="609">
        <f>HAM!W7</f>
        <v>475.35</v>
      </c>
      <c r="AB9" s="278"/>
      <c r="AC9" s="485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 spans="1:41">
      <c r="A10" s="182" t="s">
        <v>14</v>
      </c>
      <c r="B10" s="280">
        <f t="shared" ref="B10:O10" si="1">B8-B9</f>
        <v>-260.95000000000005</v>
      </c>
      <c r="C10" s="280">
        <f t="shared" si="1"/>
        <v>-84.38</v>
      </c>
      <c r="D10" s="280">
        <f t="shared" si="1"/>
        <v>34.75</v>
      </c>
      <c r="E10" s="280">
        <f t="shared" si="1"/>
        <v>6.3900000000000148</v>
      </c>
      <c r="F10" s="280">
        <f t="shared" si="1"/>
        <v>74.899999999999977</v>
      </c>
      <c r="G10" s="280">
        <f t="shared" si="1"/>
        <v>49.299999999999955</v>
      </c>
      <c r="H10" s="280">
        <f t="shared" si="1"/>
        <v>60.75</v>
      </c>
      <c r="I10" s="281">
        <f t="shared" si="1"/>
        <v>11.840000000000003</v>
      </c>
      <c r="J10" s="280">
        <f t="shared" si="1"/>
        <v>98.56</v>
      </c>
      <c r="K10" s="281">
        <f t="shared" si="1"/>
        <v>730</v>
      </c>
      <c r="L10" s="281">
        <f t="shared" si="1"/>
        <v>56.67999999999995</v>
      </c>
      <c r="M10" s="281">
        <f t="shared" si="1"/>
        <v>5.5400000000000773</v>
      </c>
      <c r="N10" s="281">
        <f t="shared" si="1"/>
        <v>-164.64999999999986</v>
      </c>
      <c r="O10" s="281">
        <f t="shared" si="1"/>
        <v>-171.60999999999979</v>
      </c>
      <c r="P10" s="281">
        <f>P8-P9</f>
        <v>65.6599999999994</v>
      </c>
      <c r="Q10" s="281">
        <f t="shared" ref="Q10:S10" si="2">Q8-Q9</f>
        <v>-87.789999999999992</v>
      </c>
      <c r="R10" s="281">
        <f t="shared" si="2"/>
        <v>-111.00999999999999</v>
      </c>
      <c r="S10" s="281">
        <f t="shared" si="2"/>
        <v>-37.46999999999997</v>
      </c>
      <c r="T10" s="281">
        <f>T8-T9</f>
        <v>135.28</v>
      </c>
      <c r="U10" s="281">
        <f>U8-U9</f>
        <v>-398.37000000000012</v>
      </c>
      <c r="V10" s="281">
        <f>V8-V9</f>
        <v>81.220000000000027</v>
      </c>
      <c r="W10" s="281">
        <f t="shared" ref="W10:Z10" si="3">W8-W9</f>
        <v>-200.75</v>
      </c>
      <c r="X10" s="281">
        <f t="shared" si="3"/>
        <v>-176.64</v>
      </c>
      <c r="Y10" s="281">
        <f t="shared" si="3"/>
        <v>-52.180000000000064</v>
      </c>
      <c r="Z10" s="281">
        <f t="shared" si="3"/>
        <v>-15.169999999999959</v>
      </c>
      <c r="AA10" s="610">
        <f t="shared" ref="AA10" si="4">AA8-AA9</f>
        <v>20.620000000000005</v>
      </c>
      <c r="AB10" s="281"/>
      <c r="AC10" s="485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spans="1:41">
      <c r="I11" s="282"/>
      <c r="J11" s="283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318"/>
      <c r="V11" s="282"/>
      <c r="W11" s="282"/>
      <c r="X11" s="282"/>
      <c r="Y11" s="282"/>
      <c r="Z11" s="282"/>
      <c r="AA11" s="282"/>
      <c r="AB11" s="273"/>
      <c r="AC11" s="485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 spans="1:41">
      <c r="A12" s="294" t="s">
        <v>15</v>
      </c>
      <c r="B12" s="304">
        <f>'CALZ MOS'!J19</f>
        <v>0.31948436244409639</v>
      </c>
      <c r="C12" s="304">
        <f>'INT GAL'!J18</f>
        <v>0.48517867954631544</v>
      </c>
      <c r="D12" s="304">
        <f>SWR!H19</f>
        <v>0.46596564323417566</v>
      </c>
      <c r="E12" s="304">
        <f>KOB!H18</f>
        <v>0.22879625535300271</v>
      </c>
      <c r="F12" s="304">
        <f>VIL!H18</f>
        <v>0.30804073678571986</v>
      </c>
      <c r="G12" s="304">
        <f>BRA!J19</f>
        <v>0.3129555641142483</v>
      </c>
      <c r="H12" s="304">
        <f>GRA!L19</f>
        <v>0.1862686878631383</v>
      </c>
      <c r="I12" s="305">
        <f>KLA!H18</f>
        <v>0.40685210026896551</v>
      </c>
      <c r="J12" s="306">
        <f>WDON!H20</f>
        <v>0.39945173682703455</v>
      </c>
      <c r="K12" s="305">
        <f>STO!J19</f>
        <v>0.21835452516537121</v>
      </c>
      <c r="L12" s="305">
        <f>LEI!H19</f>
        <v>0.11172862373080798</v>
      </c>
      <c r="M12" s="305">
        <f>MAT!P19</f>
        <v>0.15548415124254419</v>
      </c>
      <c r="N12" s="305">
        <f>OLA!J18</f>
        <v>9.1385282619402944E-2</v>
      </c>
      <c r="O12" s="305">
        <f>FRA!R18</f>
        <v>0.15128761379210565</v>
      </c>
      <c r="P12" s="576">
        <f>LULU!J18</f>
        <v>0.35646451666356027</v>
      </c>
      <c r="Q12" s="305">
        <f>STK!J18</f>
        <v>7.3841115937130636E-2</v>
      </c>
      <c r="R12" s="305">
        <f>SEI!J19</f>
        <v>0.17051596412685888</v>
      </c>
      <c r="S12" s="305">
        <f>KRE!J18</f>
        <v>0.30964571221420001</v>
      </c>
      <c r="T12" s="305">
        <f>WIE!H19</f>
        <v>0.26053749784892305</v>
      </c>
      <c r="U12" s="604">
        <f>BERG!J19</f>
        <v>0.2567871112865408</v>
      </c>
      <c r="V12" s="305">
        <f>LIN!H19</f>
        <v>0.21745474472773096</v>
      </c>
      <c r="W12" s="305">
        <f>LULU2!H19</f>
        <v>0.37013815299687886</v>
      </c>
      <c r="X12" s="305">
        <f>ING!H19</f>
        <v>0.1151060400874496</v>
      </c>
      <c r="Y12" s="305">
        <f>MUN!H19</f>
        <v>0.28969544377753109</v>
      </c>
      <c r="Z12" s="305">
        <f>'WIE2'!H19</f>
        <v>0.27645504989641428</v>
      </c>
      <c r="AA12" s="576">
        <f>HAM!H19</f>
        <v>0.19202036262085215</v>
      </c>
      <c r="AB12" s="285">
        <f>SPICE!H19</f>
        <v>0.53562504236758668</v>
      </c>
      <c r="AC12" s="592">
        <f>AC13/AC5</f>
        <v>0.2660542770663275</v>
      </c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 spans="1:41">
      <c r="A13" s="182" t="s">
        <v>16</v>
      </c>
      <c r="B13" s="289">
        <f>'CALZ MOS'!I19</f>
        <v>17607.530807702271</v>
      </c>
      <c r="C13" s="289">
        <f>'INT GAL'!I18</f>
        <v>28587.266347203204</v>
      </c>
      <c r="D13" s="289">
        <f>SWR!G19</f>
        <v>6233.2270691999993</v>
      </c>
      <c r="E13" s="289">
        <f>KOB!G18</f>
        <v>12795.217800099199</v>
      </c>
      <c r="F13" s="289">
        <f>VIL!C18</f>
        <v>16287.724806914397</v>
      </c>
      <c r="G13" s="289">
        <f>BRA!I19</f>
        <v>45650.493274891793</v>
      </c>
      <c r="H13" s="289">
        <f>GRA!K19</f>
        <v>8701.6814550424024</v>
      </c>
      <c r="I13" s="288">
        <f>KLA!G18</f>
        <v>6409.1207929320008</v>
      </c>
      <c r="J13" s="279">
        <f>WDON!G20</f>
        <v>17376.150551976003</v>
      </c>
      <c r="K13" s="288">
        <f>STO!I19</f>
        <v>14795.958099999996</v>
      </c>
      <c r="L13" s="288">
        <f>LEI!G19</f>
        <v>9756.839493499996</v>
      </c>
      <c r="M13" s="288">
        <f>MAT!O19</f>
        <v>13705.655834765596</v>
      </c>
      <c r="N13" s="288">
        <f>OLA!I18</f>
        <v>11963.34330225279</v>
      </c>
      <c r="O13" s="288">
        <f>FRA!Q18</f>
        <v>26034.525693312433</v>
      </c>
      <c r="P13" s="288">
        <f>LULU!I18</f>
        <v>224740.92526706948</v>
      </c>
      <c r="Q13" s="288">
        <f>STK!I18</f>
        <v>554.1369624944</v>
      </c>
      <c r="R13" s="288">
        <f>SEI!I19</f>
        <v>12600.498839907603</v>
      </c>
      <c r="S13" s="288">
        <f>KRE!I18</f>
        <v>12385.828488568</v>
      </c>
      <c r="T13" s="288">
        <f>WIE!G19</f>
        <v>10160.962416107999</v>
      </c>
      <c r="U13" s="319">
        <f>BERG!I19</f>
        <v>22784.271007010015</v>
      </c>
      <c r="V13" s="288">
        <f>LIN!G19</f>
        <v>11960.010960025204</v>
      </c>
      <c r="W13" s="288">
        <f>LULU2!G19</f>
        <v>9200.768360224396</v>
      </c>
      <c r="X13" s="288">
        <f>ING!G19</f>
        <v>7194.1275054655998</v>
      </c>
      <c r="Y13" s="288">
        <f>MUN!G19</f>
        <v>26805.232614245615</v>
      </c>
      <c r="Z13" s="288">
        <f>'WIE2'!G19</f>
        <v>22945.769141402387</v>
      </c>
      <c r="AA13" s="290">
        <f>HAM!G19</f>
        <v>12295.065738816789</v>
      </c>
      <c r="AB13" s="288">
        <f>SPICE!G19</f>
        <v>2532.5369690719995</v>
      </c>
      <c r="AC13" s="485">
        <f>SUM(B13:AB13)</f>
        <v>612064.86960020149</v>
      </c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 spans="1:41" hidden="1" outlineLevel="1">
      <c r="A14" s="183" t="s">
        <v>17</v>
      </c>
      <c r="B14" s="307">
        <f>B15-B16</f>
        <v>17607.530807702271</v>
      </c>
      <c r="C14" s="307">
        <f t="shared" ref="C14:Y14" si="5">C15-C16</f>
        <v>28587.266347203204</v>
      </c>
      <c r="D14" s="307">
        <f t="shared" si="5"/>
        <v>6233.2270691999993</v>
      </c>
      <c r="E14" s="307">
        <f t="shared" si="5"/>
        <v>12795.217800099199</v>
      </c>
      <c r="F14" s="307">
        <f t="shared" si="5"/>
        <v>16287.724806914397</v>
      </c>
      <c r="G14" s="307">
        <f t="shared" si="5"/>
        <v>45650.493274891793</v>
      </c>
      <c r="H14" s="307">
        <f t="shared" si="5"/>
        <v>8701.6814550424024</v>
      </c>
      <c r="I14" s="308">
        <f t="shared" si="5"/>
        <v>6409.1207929320008</v>
      </c>
      <c r="J14" s="309">
        <f t="shared" si="5"/>
        <v>17376.150551976003</v>
      </c>
      <c r="K14" s="308">
        <f t="shared" si="5"/>
        <v>58439.25190000001</v>
      </c>
      <c r="L14" s="308">
        <f t="shared" si="5"/>
        <v>9756.839493499996</v>
      </c>
      <c r="M14" s="308">
        <f t="shared" si="5"/>
        <v>13705.655834765596</v>
      </c>
      <c r="N14" s="308">
        <f t="shared" si="5"/>
        <v>11963.34330225279</v>
      </c>
      <c r="O14" s="308">
        <f t="shared" si="5"/>
        <v>32034.525693312433</v>
      </c>
      <c r="P14" s="310">
        <f t="shared" si="5"/>
        <v>224740.92526706948</v>
      </c>
      <c r="Q14" s="308">
        <f>STK!I18</f>
        <v>554.1369624944</v>
      </c>
      <c r="R14" s="308">
        <f>SEI!I19</f>
        <v>12600.498839907603</v>
      </c>
      <c r="S14" s="308">
        <f>KRE!G17</f>
        <v>0</v>
      </c>
      <c r="T14" s="308" t="e">
        <f t="shared" si="5"/>
        <v>#REF!</v>
      </c>
      <c r="U14" s="466">
        <f t="shared" si="5"/>
        <v>25094.111007010011</v>
      </c>
      <c r="V14" s="311" t="e">
        <f t="shared" si="5"/>
        <v>#REF!</v>
      </c>
      <c r="W14" s="311" t="e">
        <f t="shared" si="5"/>
        <v>#REF!</v>
      </c>
      <c r="X14" s="311" t="e">
        <f t="shared" si="5"/>
        <v>#REF!</v>
      </c>
      <c r="Y14" s="311" t="e">
        <f t="shared" si="5"/>
        <v>#REF!</v>
      </c>
      <c r="Z14" s="311" t="e">
        <f t="shared" ref="Z14:AA14" si="6">Z15-Z16</f>
        <v>#REF!</v>
      </c>
      <c r="AA14" s="611" t="e">
        <f t="shared" si="6"/>
        <v>#REF!</v>
      </c>
      <c r="AB14" s="288"/>
      <c r="AC14" s="485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 spans="1:41" hidden="1" outlineLevel="1">
      <c r="A15" s="182" t="s">
        <v>18</v>
      </c>
      <c r="B15" s="274">
        <f>B5-B20</f>
        <v>55112.34</v>
      </c>
      <c r="C15" s="274">
        <f>C5-C20</f>
        <v>58921.11</v>
      </c>
      <c r="D15" s="274">
        <f>D5-D20</f>
        <v>13377.009999999998</v>
      </c>
      <c r="E15" s="274">
        <f>E5-E20</f>
        <v>55924.07</v>
      </c>
      <c r="F15" s="274">
        <f>F5-F20</f>
        <v>52875.229999999996</v>
      </c>
      <c r="G15" s="274">
        <f>G5-G20</f>
        <v>145868.93</v>
      </c>
      <c r="H15" s="274">
        <f>H5-H20</f>
        <v>46715.75</v>
      </c>
      <c r="I15" s="273">
        <f>I5-I20</f>
        <v>15752.95</v>
      </c>
      <c r="J15" s="272">
        <f>J5-J20</f>
        <v>43500</v>
      </c>
      <c r="K15" s="273">
        <f t="shared" ref="K15:M15" si="7">K5-K20</f>
        <v>27962.270000000004</v>
      </c>
      <c r="L15" s="273">
        <f t="shared" si="7"/>
        <v>87326.23</v>
      </c>
      <c r="M15" s="273">
        <f t="shared" si="7"/>
        <v>88148.25</v>
      </c>
      <c r="N15" s="273">
        <f>N5-N20</f>
        <v>130911.05</v>
      </c>
      <c r="O15" s="273">
        <f>O5-O20</f>
        <v>172086.30000000002</v>
      </c>
      <c r="P15" s="273">
        <f>P5-P20</f>
        <v>630472.07999999996</v>
      </c>
      <c r="Q15" s="273">
        <f t="shared" ref="Q15:U15" si="8">Q5-Q20</f>
        <v>7504.45</v>
      </c>
      <c r="R15" s="273">
        <f t="shared" si="8"/>
        <v>73896.3</v>
      </c>
      <c r="S15" s="273">
        <f t="shared" si="8"/>
        <v>40000</v>
      </c>
      <c r="T15" s="273" t="e">
        <f t="shared" si="8"/>
        <v>#REF!</v>
      </c>
      <c r="U15" s="316">
        <f t="shared" si="8"/>
        <v>88728.25</v>
      </c>
      <c r="V15" s="273" t="e">
        <f>V5-V20</f>
        <v>#REF!</v>
      </c>
      <c r="W15" s="273" t="e">
        <f>W5-W20</f>
        <v>#REF!</v>
      </c>
      <c r="X15" s="273" t="e">
        <f>X5-X20</f>
        <v>#REF!</v>
      </c>
      <c r="Y15" s="273" t="e">
        <f>Y5-Y20</f>
        <v>#REF!</v>
      </c>
      <c r="Z15" s="273" t="e">
        <f>Z5-Z20</f>
        <v>#REF!</v>
      </c>
      <c r="AA15" s="608" t="e">
        <f>AA5-AA20</f>
        <v>#REF!</v>
      </c>
      <c r="AB15" s="273"/>
      <c r="AC15" s="485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 spans="1:41" hidden="1" outlineLevel="1">
      <c r="A16" s="182"/>
      <c r="B16" s="289">
        <f>'CALZ MOS'!I5-'Total 2024'!B20</f>
        <v>37504.809192297726</v>
      </c>
      <c r="C16" s="289">
        <f>'INT GAL'!I5-'Total 2024'!C21</f>
        <v>30333.843652796797</v>
      </c>
      <c r="D16" s="289">
        <f>SWR!G5-'Total 2024'!D21</f>
        <v>7143.7829307999991</v>
      </c>
      <c r="E16" s="289">
        <f>KOB!G5-'Total 2024'!E21</f>
        <v>43128.852199900801</v>
      </c>
      <c r="F16" s="289">
        <f>VIL!G5-'Total 2024'!F21</f>
        <v>36587.505193085599</v>
      </c>
      <c r="G16" s="289">
        <f>BRA!I5-'Total 2024'!G21</f>
        <v>100218.4367251082</v>
      </c>
      <c r="H16" s="289">
        <f>GRA!K5-'Total 2024'!H21</f>
        <v>38014.068544957598</v>
      </c>
      <c r="I16" s="288">
        <f>KLA!G5-'Total 2024'!I21</f>
        <v>9343.829207068</v>
      </c>
      <c r="J16" s="279">
        <f>WDON!G5-'Total 2024'!J21</f>
        <v>26123.849448023997</v>
      </c>
      <c r="K16" s="288">
        <f>STO!I19-'Total 2024'!K21</f>
        <v>-30476.981900000006</v>
      </c>
      <c r="L16" s="288">
        <f>LEI!G5-'Total 2024'!L20</f>
        <v>77569.3905065</v>
      </c>
      <c r="M16" s="288">
        <f>MAT!O5-M20</f>
        <v>74442.594165234404</v>
      </c>
      <c r="N16" s="288">
        <f>OLA!I5-OLA!M27</f>
        <v>118947.70669774721</v>
      </c>
      <c r="O16" s="288">
        <f>FRA!Q5-FRA!U27</f>
        <v>140051.77430668758</v>
      </c>
      <c r="P16" s="290">
        <f>LULU!I5-LULU!M25</f>
        <v>405731.15473293047</v>
      </c>
      <c r="Q16" s="288">
        <f>STK!I5-STK!I8</f>
        <v>6950.3130375055998</v>
      </c>
      <c r="R16" s="288">
        <f>SEI!I5-SEI!I8</f>
        <v>41051.1211600924</v>
      </c>
      <c r="S16" s="288">
        <f>KRE!G5-KRE!G8</f>
        <v>0</v>
      </c>
      <c r="T16" s="288">
        <f>WIE!G5-WIE!G8</f>
        <v>20199.347583891999</v>
      </c>
      <c r="U16" s="319">
        <f>BERG!I5-BERG!I8</f>
        <v>63634.138992989989</v>
      </c>
      <c r="V16" s="288" t="e">
        <f>LIN!G5-'Total 2024'!V21</f>
        <v>#REF!</v>
      </c>
      <c r="W16" s="288">
        <f>LULU2!G5</f>
        <v>15656.891639775604</v>
      </c>
      <c r="X16" s="288">
        <f>ING!I5-ING!I8</f>
        <v>0</v>
      </c>
      <c r="Y16" s="288">
        <f>MUN!G5-MUN!G8</f>
        <v>51569.827385754397</v>
      </c>
      <c r="Z16" s="288">
        <f>'WIE2'!G5-'WIE2'!G8</f>
        <v>41148.280858597616</v>
      </c>
      <c r="AA16" s="290">
        <f>HAM!I5-HAM!I8</f>
        <v>0</v>
      </c>
      <c r="AB16" s="288"/>
      <c r="AC16" s="485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 spans="1:41" hidden="1" outlineLevel="1">
      <c r="A17" s="182"/>
      <c r="B17" s="284">
        <f>B14/B15</f>
        <v>0.31948436244409639</v>
      </c>
      <c r="C17" s="284">
        <f t="shared" ref="C17:J17" si="9">C14/C15</f>
        <v>0.48517867954631544</v>
      </c>
      <c r="D17" s="284">
        <f t="shared" si="9"/>
        <v>0.46596564323417566</v>
      </c>
      <c r="E17" s="284">
        <f t="shared" si="9"/>
        <v>0.22879625535300271</v>
      </c>
      <c r="F17" s="284">
        <f t="shared" si="9"/>
        <v>0.30804073678571986</v>
      </c>
      <c r="G17" s="284">
        <f t="shared" si="9"/>
        <v>0.3129555641142483</v>
      </c>
      <c r="H17" s="284">
        <f t="shared" si="9"/>
        <v>0.1862686878631383</v>
      </c>
      <c r="I17" s="285">
        <f t="shared" si="9"/>
        <v>0.40685210026896551</v>
      </c>
      <c r="J17" s="286">
        <f t="shared" si="9"/>
        <v>0.39945173682703455</v>
      </c>
      <c r="K17" s="287">
        <f t="shared" ref="K17:Y17" si="10">K14/K15</f>
        <v>2.0899323230910798</v>
      </c>
      <c r="L17" s="287">
        <f t="shared" si="10"/>
        <v>0.11172862373080798</v>
      </c>
      <c r="M17" s="287">
        <f t="shared" si="10"/>
        <v>0.15548415124254419</v>
      </c>
      <c r="N17" s="287">
        <f t="shared" si="10"/>
        <v>9.1385282619402944E-2</v>
      </c>
      <c r="O17" s="287">
        <f t="shared" si="10"/>
        <v>0.18615384079564978</v>
      </c>
      <c r="P17" s="291">
        <f t="shared" si="10"/>
        <v>0.35646451666356027</v>
      </c>
      <c r="Q17" s="287">
        <f t="shared" si="10"/>
        <v>7.3841115937130636E-2</v>
      </c>
      <c r="R17" s="287">
        <f t="shared" si="10"/>
        <v>0.17051596412685888</v>
      </c>
      <c r="S17" s="287">
        <f t="shared" si="10"/>
        <v>0</v>
      </c>
      <c r="T17" s="287" t="e">
        <f t="shared" si="10"/>
        <v>#REF!</v>
      </c>
      <c r="U17" s="467">
        <f t="shared" si="10"/>
        <v>0.28281985733979892</v>
      </c>
      <c r="V17" s="287" t="e">
        <f t="shared" si="10"/>
        <v>#REF!</v>
      </c>
      <c r="W17" s="287" t="e">
        <f t="shared" si="10"/>
        <v>#REF!</v>
      </c>
      <c r="X17" s="287" t="e">
        <f t="shared" si="10"/>
        <v>#REF!</v>
      </c>
      <c r="Y17" s="287" t="e">
        <f t="shared" si="10"/>
        <v>#REF!</v>
      </c>
      <c r="Z17" s="287" t="e">
        <f t="shared" ref="Z17:AA17" si="11">Z14/Z15</f>
        <v>#REF!</v>
      </c>
      <c r="AA17" s="291" t="e">
        <f t="shared" si="11"/>
        <v>#REF!</v>
      </c>
      <c r="AB17" s="287"/>
      <c r="AC17" s="485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spans="1:41" hidden="1" outlineLevel="1">
      <c r="I18" s="282"/>
      <c r="J18" s="283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318"/>
      <c r="V18" s="282"/>
      <c r="W18" s="282"/>
      <c r="X18" s="282"/>
      <c r="Y18" s="282"/>
      <c r="Z18" s="282"/>
      <c r="AA18" s="282"/>
      <c r="AB18" s="273"/>
      <c r="AC18" s="485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spans="1:41" hidden="1" outlineLevel="1">
      <c r="A19" s="182" t="s">
        <v>19</v>
      </c>
      <c r="B19" s="289">
        <f>B20-B21</f>
        <v>0</v>
      </c>
      <c r="C19" s="289">
        <f t="shared" ref="C19:M19" si="12">C20-C21</f>
        <v>0</v>
      </c>
      <c r="D19" s="289">
        <f t="shared" si="12"/>
        <v>0</v>
      </c>
      <c r="E19" s="289">
        <f t="shared" si="12"/>
        <v>0</v>
      </c>
      <c r="F19" s="289">
        <f t="shared" si="12"/>
        <v>0</v>
      </c>
      <c r="G19" s="289">
        <f t="shared" si="12"/>
        <v>0</v>
      </c>
      <c r="H19" s="289">
        <f t="shared" si="12"/>
        <v>0</v>
      </c>
      <c r="I19" s="289">
        <f t="shared" si="12"/>
        <v>0</v>
      </c>
      <c r="J19" s="289">
        <f t="shared" si="12"/>
        <v>0</v>
      </c>
      <c r="K19" s="289">
        <f t="shared" si="12"/>
        <v>-5474.0500000000029</v>
      </c>
      <c r="L19" s="289">
        <f t="shared" si="12"/>
        <v>-5200</v>
      </c>
      <c r="M19" s="289">
        <f t="shared" si="12"/>
        <v>0</v>
      </c>
      <c r="N19" s="288">
        <f t="shared" ref="M19:P19" si="13">N20-N21</f>
        <v>0</v>
      </c>
      <c r="O19" s="288">
        <f t="shared" si="13"/>
        <v>-6000</v>
      </c>
      <c r="P19" s="288">
        <f t="shared" si="13"/>
        <v>0</v>
      </c>
      <c r="Q19" s="288">
        <f t="shared" ref="Q19:S19" si="14">Q20-Q21</f>
        <v>0</v>
      </c>
      <c r="R19" s="288">
        <f t="shared" si="14"/>
        <v>-20244.68</v>
      </c>
      <c r="S19" s="288">
        <f t="shared" si="14"/>
        <v>0</v>
      </c>
      <c r="T19" s="278" t="e">
        <f>T20-T21</f>
        <v>#REF!</v>
      </c>
      <c r="U19" s="317"/>
      <c r="V19" s="278"/>
      <c r="W19" s="278"/>
      <c r="X19" s="278"/>
      <c r="Y19" s="278"/>
      <c r="Z19" s="278"/>
      <c r="AA19" s="609"/>
      <c r="AB19" s="278"/>
      <c r="AC19" s="485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spans="1:41" hidden="1" outlineLevel="1">
      <c r="A20" s="182" t="s">
        <v>20</v>
      </c>
      <c r="B20" s="289">
        <f>'CALZ MOS'!M31</f>
        <v>0</v>
      </c>
      <c r="C20" s="289">
        <f>'INT GAL'!M31</f>
        <v>0</v>
      </c>
      <c r="D20" s="289">
        <f>'INT GAL'!M31</f>
        <v>0</v>
      </c>
      <c r="E20" s="289">
        <f>KOB!K31</f>
        <v>0</v>
      </c>
      <c r="F20" s="289">
        <f>VIL!K31</f>
        <v>0</v>
      </c>
      <c r="G20" s="289">
        <f>BRA!M31</f>
        <v>0</v>
      </c>
      <c r="H20" s="289">
        <f>GRA!O32</f>
        <v>0</v>
      </c>
      <c r="I20" s="288">
        <f>KLA!K31</f>
        <v>0</v>
      </c>
      <c r="J20" s="279">
        <f>WDON!K32</f>
        <v>0</v>
      </c>
      <c r="K20" s="288">
        <f>STO!M31</f>
        <v>39798.89</v>
      </c>
      <c r="L20" s="288">
        <f>LEI!K25</f>
        <v>0</v>
      </c>
      <c r="M20" s="288">
        <f>MAT!S26</f>
        <v>0</v>
      </c>
      <c r="N20" s="288">
        <f>OLA!M26</f>
        <v>0</v>
      </c>
      <c r="O20" s="288">
        <f>FRA!U26</f>
        <v>0</v>
      </c>
      <c r="P20" s="290">
        <f>LULU!M24</f>
        <v>0</v>
      </c>
      <c r="Q20" s="290">
        <f>STK!M31</f>
        <v>0</v>
      </c>
      <c r="R20" s="290">
        <f>SEI!M30</f>
        <v>0</v>
      </c>
      <c r="S20" s="290">
        <f>LULU!P24</f>
        <v>0</v>
      </c>
      <c r="T20" s="278" t="e">
        <f>WIE!#REF!</f>
        <v>#REF!</v>
      </c>
      <c r="U20" s="317"/>
      <c r="V20" s="278" t="e">
        <f>LIN!#REF!</f>
        <v>#REF!</v>
      </c>
      <c r="W20" s="278" t="e">
        <f>LULU2!#REF!</f>
        <v>#REF!</v>
      </c>
      <c r="X20" s="278" t="e">
        <f>ING!#REF!</f>
        <v>#REF!</v>
      </c>
      <c r="Y20" s="278" t="e">
        <f>MUN!#REF!</f>
        <v>#REF!</v>
      </c>
      <c r="Z20" s="278" t="e">
        <f>'WIE2'!#REF!</f>
        <v>#REF!</v>
      </c>
      <c r="AA20" s="609" t="e">
        <f>HAM!#REF!</f>
        <v>#REF!</v>
      </c>
      <c r="AB20" s="278"/>
      <c r="AC20" s="485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spans="1:41" hidden="1" outlineLevel="1">
      <c r="A21" s="182"/>
      <c r="B21" s="289">
        <f>'CALZ MOS'!M32</f>
        <v>0</v>
      </c>
      <c r="C21" s="289">
        <f>'INT GAL'!M32</f>
        <v>0</v>
      </c>
      <c r="D21" s="289">
        <f>SWR!K27</f>
        <v>0</v>
      </c>
      <c r="E21" s="289">
        <f>KOB!K32</f>
        <v>0</v>
      </c>
      <c r="F21" s="289">
        <f>VIL!K32</f>
        <v>0</v>
      </c>
      <c r="G21" s="289">
        <f>BRA!M32</f>
        <v>0</v>
      </c>
      <c r="H21" s="289">
        <f>GRA!O33</f>
        <v>0</v>
      </c>
      <c r="I21" s="288">
        <f>KLA!K32</f>
        <v>0</v>
      </c>
      <c r="J21" s="279">
        <f>WDON!K33</f>
        <v>0</v>
      </c>
      <c r="K21" s="288">
        <f>STO!M32</f>
        <v>45272.94</v>
      </c>
      <c r="L21" s="288">
        <f>LEI!K26</f>
        <v>5200</v>
      </c>
      <c r="M21" s="288">
        <f>MAT!S27</f>
        <v>0</v>
      </c>
      <c r="N21" s="288">
        <f>OLA!M27</f>
        <v>0</v>
      </c>
      <c r="O21" s="288">
        <f>FRA!U27</f>
        <v>6000</v>
      </c>
      <c r="P21" s="290">
        <f>LULU!M25</f>
        <v>0</v>
      </c>
      <c r="Q21" s="290">
        <f>STK!M32</f>
        <v>0</v>
      </c>
      <c r="R21" s="290">
        <f>SEI!M31</f>
        <v>20244.68</v>
      </c>
      <c r="S21" s="290">
        <f>LULU!P25</f>
        <v>0</v>
      </c>
      <c r="T21" s="278" t="e">
        <f>WIE!#REF!</f>
        <v>#REF!</v>
      </c>
      <c r="U21" s="317" t="e">
        <f>BERG!#REF!</f>
        <v>#REF!</v>
      </c>
      <c r="V21" s="278" t="e">
        <f>LIN!#REF!</f>
        <v>#REF!</v>
      </c>
      <c r="W21" s="278" t="e">
        <f>LULU2!#REF!</f>
        <v>#REF!</v>
      </c>
      <c r="X21" s="278" t="e">
        <f>ING!#REF!</f>
        <v>#REF!</v>
      </c>
      <c r="Y21" s="278" t="e">
        <f>MUN!#REF!</f>
        <v>#REF!</v>
      </c>
      <c r="Z21" s="278" t="e">
        <f>'WIE2'!#REF!</f>
        <v>#REF!</v>
      </c>
      <c r="AA21" s="609" t="e">
        <f>HAM!#REF!</f>
        <v>#REF!</v>
      </c>
      <c r="AB21" s="278"/>
      <c r="AC21" s="485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spans="1:41" hidden="1" outlineLevel="1">
      <c r="A22" s="294"/>
      <c r="B22" s="613" t="e">
        <f t="shared" ref="B22:S22" si="15">B19/B20</f>
        <v>#DIV/0!</v>
      </c>
      <c r="C22" s="613" t="e">
        <f t="shared" si="15"/>
        <v>#DIV/0!</v>
      </c>
      <c r="D22" s="613" t="e">
        <f t="shared" si="15"/>
        <v>#DIV/0!</v>
      </c>
      <c r="E22" s="613" t="e">
        <f t="shared" si="15"/>
        <v>#DIV/0!</v>
      </c>
      <c r="F22" s="613" t="e">
        <f t="shared" si="15"/>
        <v>#DIV/0!</v>
      </c>
      <c r="G22" s="613" t="e">
        <f t="shared" si="15"/>
        <v>#DIV/0!</v>
      </c>
      <c r="H22" s="613" t="e">
        <f t="shared" si="15"/>
        <v>#DIV/0!</v>
      </c>
      <c r="I22" s="613" t="e">
        <f t="shared" si="15"/>
        <v>#DIV/0!</v>
      </c>
      <c r="J22" s="613" t="e">
        <f t="shared" si="15"/>
        <v>#DIV/0!</v>
      </c>
      <c r="K22" s="613">
        <f t="shared" si="15"/>
        <v>-0.13754278071574366</v>
      </c>
      <c r="L22" s="614" t="e">
        <f t="shared" si="15"/>
        <v>#DIV/0!</v>
      </c>
      <c r="M22" s="614" t="e">
        <f t="shared" si="15"/>
        <v>#DIV/0!</v>
      </c>
      <c r="N22" s="614" t="e">
        <f t="shared" si="15"/>
        <v>#DIV/0!</v>
      </c>
      <c r="O22" s="614" t="e">
        <f t="shared" si="15"/>
        <v>#DIV/0!</v>
      </c>
      <c r="P22" s="614" t="e">
        <f t="shared" si="15"/>
        <v>#DIV/0!</v>
      </c>
      <c r="Q22" s="613" t="e">
        <f t="shared" si="15"/>
        <v>#DIV/0!</v>
      </c>
      <c r="R22" s="613" t="e">
        <f t="shared" si="15"/>
        <v>#DIV/0!</v>
      </c>
      <c r="S22" s="613" t="e">
        <f t="shared" si="15"/>
        <v>#DIV/0!</v>
      </c>
      <c r="T22" s="615" t="e">
        <f t="shared" ref="S22:Y22" si="16">T19/T20</f>
        <v>#REF!</v>
      </c>
      <c r="U22" s="616" t="e">
        <f t="shared" si="16"/>
        <v>#DIV/0!</v>
      </c>
      <c r="V22" s="616" t="e">
        <f t="shared" si="16"/>
        <v>#REF!</v>
      </c>
      <c r="W22" s="615" t="e">
        <f t="shared" si="16"/>
        <v>#REF!</v>
      </c>
      <c r="X22" s="615" t="e">
        <f t="shared" si="16"/>
        <v>#REF!</v>
      </c>
      <c r="Y22" s="615" t="e">
        <f t="shared" si="16"/>
        <v>#REF!</v>
      </c>
      <c r="Z22" s="615" t="e">
        <f t="shared" ref="Z22:AA22" si="17">Z19/Z20</f>
        <v>#REF!</v>
      </c>
      <c r="AA22" s="617" t="e">
        <f t="shared" si="17"/>
        <v>#REF!</v>
      </c>
      <c r="AB22" s="615"/>
      <c r="AC22" s="485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spans="1:41" collapsed="1">
      <c r="A23" s="182" t="s">
        <v>21</v>
      </c>
      <c r="B23" s="289">
        <f>'CALZ MOS'!I12</f>
        <v>3994.1913684113283</v>
      </c>
      <c r="C23" s="289">
        <f>'INT GAL'!I12</f>
        <v>4124.4777000000004</v>
      </c>
      <c r="D23" s="289">
        <f>SWR!G12</f>
        <v>936.39069999999992</v>
      </c>
      <c r="E23" s="289">
        <f>KOB!G12</f>
        <v>3360</v>
      </c>
      <c r="F23" s="289">
        <f>VIL!G12</f>
        <v>3701.2661000000003</v>
      </c>
      <c r="G23" s="289">
        <f>BRA!I12</f>
        <v>10172.276305022609</v>
      </c>
      <c r="H23" s="289">
        <f>GRA!K12</f>
        <v>3270.1025000000004</v>
      </c>
      <c r="I23" s="289">
        <f>KLA!G12</f>
        <v>956.17745451200005</v>
      </c>
      <c r="J23" s="289">
        <f>WDON!G12</f>
        <v>3045.0000000000005</v>
      </c>
      <c r="K23" s="289">
        <f>STO!I12</f>
        <v>4743.2819</v>
      </c>
      <c r="L23" s="289">
        <f>LEI!G12</f>
        <v>6112.8361000000004</v>
      </c>
      <c r="M23" s="289">
        <f>MAT!O12</f>
        <v>6170.3775000000005</v>
      </c>
      <c r="N23" s="289">
        <f>OLA!I12</f>
        <v>9163.7735000000011</v>
      </c>
      <c r="O23" s="289">
        <f>FRA!Q12</f>
        <v>12046.041000000003</v>
      </c>
      <c r="P23" s="289">
        <f>LULU!I12</f>
        <v>75026.177519999997</v>
      </c>
      <c r="Q23" s="289">
        <f>STK!I12</f>
        <v>525.31150000000002</v>
      </c>
      <c r="R23" s="289">
        <f>SEI!I12</f>
        <v>5172.7410000000009</v>
      </c>
      <c r="S23" s="289">
        <f>KRE!I12</f>
        <v>2800.0000000000005</v>
      </c>
      <c r="T23" s="288">
        <f>WIE!G12</f>
        <v>2730.0000000000005</v>
      </c>
      <c r="U23" s="288">
        <f>BERG!I12</f>
        <v>5005.0000000000009</v>
      </c>
      <c r="V23" s="288">
        <f>LIN!G12</f>
        <v>3850.0000000000005</v>
      </c>
      <c r="W23" s="288">
        <f>LULU2!G12</f>
        <v>1740.0362</v>
      </c>
      <c r="X23" s="288">
        <f>ING!G12</f>
        <v>4375</v>
      </c>
      <c r="Y23" s="288">
        <f>MUN!G12</f>
        <v>6477.0307000000012</v>
      </c>
      <c r="Z23" s="288">
        <f>'WIE2'!G12</f>
        <v>5810.0000000000009</v>
      </c>
      <c r="AA23" s="612">
        <f>HAM!G12</f>
        <v>4482.1007000000009</v>
      </c>
      <c r="AB23" s="612">
        <f>SPICE!G12</f>
        <v>330.97329999999999</v>
      </c>
      <c r="AC23" s="485">
        <f>SUM(B23:AB23)</f>
        <v>190120.56304794599</v>
      </c>
      <c r="AD23" s="592">
        <f>AC13/AC5</f>
        <v>0.2660542770663275</v>
      </c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spans="1:41">
      <c r="T24" s="282"/>
      <c r="U24" s="282"/>
      <c r="V24" s="282"/>
      <c r="W24" s="282"/>
      <c r="X24" s="282"/>
      <c r="Y24" s="282"/>
      <c r="Z24" s="282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spans="1:41">
      <c r="T25" s="282"/>
      <c r="U25" s="282"/>
      <c r="V25" s="282"/>
      <c r="W25" s="282"/>
      <c r="X25" s="282"/>
      <c r="Y25" s="282"/>
      <c r="Z25" s="282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spans="1:41">
      <c r="T26" s="282"/>
      <c r="U26" s="282"/>
      <c r="V26" s="282"/>
      <c r="W26" s="282"/>
      <c r="X26" s="282"/>
      <c r="Y26" s="282"/>
      <c r="Z26" s="282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spans="1:41">
      <c r="T27" s="282"/>
      <c r="U27" s="282"/>
      <c r="V27" s="282"/>
      <c r="W27" s="282"/>
      <c r="X27" s="282"/>
      <c r="Y27" s="282"/>
      <c r="Z27" s="282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spans="1:41">
      <c r="T28" s="282"/>
      <c r="U28" s="282"/>
      <c r="V28" s="282"/>
      <c r="W28" s="282"/>
      <c r="X28" s="282"/>
      <c r="Y28" s="282"/>
      <c r="Z28" s="282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spans="1:41">
      <c r="C29" s="298"/>
      <c r="E29" s="297"/>
      <c r="F29" s="297"/>
      <c r="G29" s="297"/>
      <c r="T29" s="282"/>
      <c r="U29" s="282"/>
      <c r="V29" s="282"/>
      <c r="W29" s="282"/>
      <c r="X29" s="282"/>
      <c r="Y29" s="282"/>
      <c r="Z29" s="282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spans="1:41">
      <c r="E30" s="297"/>
      <c r="F30" s="297"/>
      <c r="G30" s="297"/>
      <c r="T30" s="282"/>
      <c r="U30" s="282"/>
      <c r="V30" s="282"/>
      <c r="W30" s="282"/>
      <c r="X30" s="282"/>
      <c r="Y30" s="282"/>
      <c r="Z30" s="282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spans="1:41">
      <c r="E31" s="297"/>
      <c r="F31" s="297"/>
      <c r="G31" s="297"/>
      <c r="T31" s="282"/>
      <c r="U31" s="282"/>
      <c r="V31" s="282"/>
      <c r="W31" s="282"/>
      <c r="X31" s="282"/>
      <c r="Y31" s="282"/>
      <c r="Z31" s="282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spans="1:41">
      <c r="E32" s="297"/>
      <c r="F32" s="297"/>
      <c r="G32" s="297"/>
      <c r="T32" s="282"/>
      <c r="U32" s="282"/>
      <c r="V32" s="282"/>
      <c r="W32" s="282"/>
      <c r="X32" s="282"/>
      <c r="Y32" s="282"/>
      <c r="Z32" s="282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spans="4:5">
      <c r="D33" s="282"/>
      <c r="E33" s="313"/>
    </row>
  </sheetData>
  <conditionalFormatting sqref="A10:AB10 AD10:XFD10">
    <cfRule type="cellIs" dxfId="107" priority="1" operator="lessThan">
      <formula>0</formula>
    </cfRule>
  </conditionalFormatting>
  <conditionalFormatting sqref="B12:AB12">
    <cfRule type="cellIs" dxfId="106" priority="3" operator="lessThan">
      <formula>0.35</formula>
    </cfRule>
  </conditionalFormatting>
  <printOptions horizontalCentered="1"/>
  <pageMargins left="0.7" right="0.7" top="0.75" bottom="0.75" header="0.3" footer="0.3"/>
  <ignoredErrors>
    <ignoredError sqref="W2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E0F5-2AC2-493F-8F62-2D63F320C626}">
  <dimension ref="A1:J28"/>
  <sheetViews>
    <sheetView topLeftCell="A20" workbookViewId="0">
      <selection activeCell="A28" sqref="A28"/>
    </sheetView>
  </sheetViews>
  <sheetFormatPr defaultRowHeight="15"/>
  <cols>
    <col min="1" max="1" width="9.140625" customWidth="1"/>
    <col min="2" max="2" width="10.5703125" customWidth="1"/>
    <col min="4" max="4" width="15.7109375" bestFit="1" customWidth="1"/>
    <col min="5" max="5" width="12.5703125" customWidth="1"/>
  </cols>
  <sheetData>
    <row r="1" spans="1:10" s="175" customFormat="1" ht="27.75">
      <c r="A1" s="110" t="s">
        <v>22</v>
      </c>
      <c r="B1" s="176" t="s">
        <v>23</v>
      </c>
      <c r="C1" s="175" t="s">
        <v>24</v>
      </c>
      <c r="D1" s="177" t="s">
        <v>25</v>
      </c>
    </row>
    <row r="2" spans="1:10" s="175" customFormat="1">
      <c r="A2" s="315" t="str">
        <f>'INT GAL'!A1</f>
        <v>GAL</v>
      </c>
      <c r="B2" s="195">
        <f>'INT GAL'!I4</f>
        <v>58921.11</v>
      </c>
      <c r="C2" s="192">
        <f>'INT GAL'!J18</f>
        <v>0.48517867954631544</v>
      </c>
      <c r="D2" s="178" t="s">
        <v>4</v>
      </c>
      <c r="E2" s="1">
        <f t="shared" ref="E2:E3" si="0">B2*C2</f>
        <v>28587.266347203204</v>
      </c>
    </row>
    <row r="3" spans="1:10" s="175" customFormat="1">
      <c r="A3" s="315" t="str">
        <f>SWR!A1</f>
        <v>SWA</v>
      </c>
      <c r="B3" s="195">
        <f>SWR!G4</f>
        <v>13377.009999999998</v>
      </c>
      <c r="C3" s="192">
        <f>SWR!H19</f>
        <v>0.46596564323417566</v>
      </c>
      <c r="D3" s="178" t="s">
        <v>5</v>
      </c>
      <c r="E3" s="1">
        <f>B3*C3</f>
        <v>6233.2270691999993</v>
      </c>
    </row>
    <row r="4" spans="1:10">
      <c r="A4" s="170" t="str">
        <f>HAM!A1</f>
        <v>HAM</v>
      </c>
      <c r="B4" s="195">
        <f>HAM!G4</f>
        <v>64030.01</v>
      </c>
      <c r="C4" s="192">
        <f>HAM!H19</f>
        <v>0.19202036262085215</v>
      </c>
      <c r="D4" s="178" t="s">
        <v>11</v>
      </c>
      <c r="E4" s="1">
        <f>B4*C4</f>
        <v>12295.065738816789</v>
      </c>
    </row>
    <row r="5" spans="1:10">
      <c r="A5" s="315" t="str">
        <f>LULU2!A1</f>
        <v>LULU2</v>
      </c>
      <c r="B5" s="195">
        <f>LULU2!G4</f>
        <v>24857.66</v>
      </c>
      <c r="C5" s="193">
        <f>LULU2!H19</f>
        <v>0.37013815299687886</v>
      </c>
      <c r="D5" s="194" t="s">
        <v>4</v>
      </c>
      <c r="E5" s="1">
        <f t="shared" ref="E5:E27" si="1">B5*C5</f>
        <v>9200.768360224396</v>
      </c>
    </row>
    <row r="6" spans="1:10">
      <c r="A6" s="315" t="str">
        <f>KLA!A1</f>
        <v>KLA</v>
      </c>
      <c r="B6" s="195">
        <f>KLA!G4</f>
        <v>15752.95</v>
      </c>
      <c r="C6" s="192">
        <f>KLA!H18</f>
        <v>0.40685210026896551</v>
      </c>
      <c r="D6" s="178" t="s">
        <v>8</v>
      </c>
      <c r="E6" s="1">
        <f t="shared" si="1"/>
        <v>6409.1207929320008</v>
      </c>
    </row>
    <row r="7" spans="1:10">
      <c r="A7" s="315" t="str">
        <f>WDON!A1</f>
        <v>WDON</v>
      </c>
      <c r="B7" s="195">
        <f>WDON!G4</f>
        <v>43500</v>
      </c>
      <c r="C7" s="192">
        <f>WDON!H20</f>
        <v>0.39945173682703455</v>
      </c>
      <c r="D7" s="178" t="s">
        <v>7</v>
      </c>
      <c r="E7" s="1">
        <f t="shared" si="1"/>
        <v>17376.150551976003</v>
      </c>
    </row>
    <row r="8" spans="1:10">
      <c r="A8" s="170" t="str">
        <f>LULU!A1</f>
        <v>LULU</v>
      </c>
      <c r="B8" s="195">
        <f>LULU!I4</f>
        <v>630472.07999999996</v>
      </c>
      <c r="C8" s="192">
        <f>LULU!J18</f>
        <v>0.35646451666356027</v>
      </c>
      <c r="D8" s="178" t="s">
        <v>4</v>
      </c>
      <c r="E8" s="1">
        <f t="shared" si="1"/>
        <v>224740.92526706948</v>
      </c>
    </row>
    <row r="9" spans="1:10">
      <c r="A9" s="170" t="str">
        <f>KRE!A1</f>
        <v>KRE</v>
      </c>
      <c r="B9" s="195">
        <f>KRE!I4</f>
        <v>40000</v>
      </c>
      <c r="C9" s="192">
        <f>KRE!J18</f>
        <v>0.30964571221420001</v>
      </c>
      <c r="D9" s="178" t="s">
        <v>9</v>
      </c>
      <c r="E9" s="1">
        <f t="shared" si="1"/>
        <v>12385.828488568</v>
      </c>
    </row>
    <row r="10" spans="1:10">
      <c r="A10" s="315" t="str">
        <f>'CALZ MOS'!A1</f>
        <v>MOS</v>
      </c>
      <c r="B10" s="195">
        <f>'CALZ MOS'!I4</f>
        <v>55112.34</v>
      </c>
      <c r="C10" s="192">
        <f>'CALZ MOS'!J19</f>
        <v>0.31948436244409639</v>
      </c>
      <c r="D10" s="178" t="s">
        <v>4</v>
      </c>
      <c r="E10" s="1">
        <f t="shared" si="1"/>
        <v>17607.530807702271</v>
      </c>
    </row>
    <row r="11" spans="1:10">
      <c r="A11" s="170" t="str">
        <f>WIE!A1</f>
        <v>WIE</v>
      </c>
      <c r="B11" s="195">
        <f>WIE!G4</f>
        <v>39000</v>
      </c>
      <c r="C11" s="192">
        <f>WIE!H19</f>
        <v>0.26053749784892305</v>
      </c>
      <c r="D11" s="178" t="s">
        <v>4</v>
      </c>
      <c r="E11" s="1">
        <f t="shared" si="1"/>
        <v>10160.962416107999</v>
      </c>
    </row>
    <row r="12" spans="1:10">
      <c r="A12" s="315" t="str">
        <f>BRA!A1</f>
        <v>BRA</v>
      </c>
      <c r="B12" s="195">
        <f>BRA!I4</f>
        <v>145868.93</v>
      </c>
      <c r="C12" s="192">
        <f>BRA!J19</f>
        <v>0.3129555641142483</v>
      </c>
      <c r="D12" s="178" t="s">
        <v>4</v>
      </c>
      <c r="E12" s="1">
        <f t="shared" si="1"/>
        <v>45650.493274891793</v>
      </c>
    </row>
    <row r="13" spans="1:10">
      <c r="A13" s="315" t="str">
        <f>VIL!A1</f>
        <v>VIL</v>
      </c>
      <c r="B13" s="195">
        <f>VIL!G4</f>
        <v>52875.229999999996</v>
      </c>
      <c r="C13" s="192">
        <f>VIL!H18</f>
        <v>0.30804073678571986</v>
      </c>
      <c r="D13" s="178" t="s">
        <v>7</v>
      </c>
      <c r="E13" s="1">
        <f t="shared" si="1"/>
        <v>16287.724806914397</v>
      </c>
    </row>
    <row r="14" spans="1:10">
      <c r="A14" s="315" t="str">
        <f>'WIE2'!A1</f>
        <v>WIE2</v>
      </c>
      <c r="B14" s="195">
        <f>'WIE2'!G4</f>
        <v>83000</v>
      </c>
      <c r="C14" s="193">
        <f>'WIE2'!H19</f>
        <v>0.27645504989641428</v>
      </c>
      <c r="D14" s="194" t="s">
        <v>9</v>
      </c>
      <c r="E14" s="1">
        <f t="shared" si="1"/>
        <v>22945.769141402387</v>
      </c>
    </row>
    <row r="15" spans="1:10">
      <c r="A15" s="170" t="str">
        <f>BERG!A1</f>
        <v>BERG</v>
      </c>
      <c r="B15" s="195">
        <f>BERG!I4</f>
        <v>88728.25</v>
      </c>
      <c r="C15" s="192">
        <f>BERG!J19</f>
        <v>0.2567871112865408</v>
      </c>
      <c r="D15" s="178" t="s">
        <v>4</v>
      </c>
      <c r="E15" s="1">
        <f t="shared" si="1"/>
        <v>22784.271007010015</v>
      </c>
      <c r="J15" s="256"/>
    </row>
    <row r="16" spans="1:10">
      <c r="A16" s="170" t="str">
        <f>MUN!A1</f>
        <v>MUN</v>
      </c>
      <c r="B16" s="195">
        <f>MUN!G4</f>
        <v>92529.010000000009</v>
      </c>
      <c r="C16" s="192">
        <f>MUN!H19</f>
        <v>0.28969544377753109</v>
      </c>
      <c r="D16" s="178" t="s">
        <v>10</v>
      </c>
      <c r="E16" s="1">
        <f t="shared" si="1"/>
        <v>26805.232614245615</v>
      </c>
    </row>
    <row r="17" spans="1:10">
      <c r="A17" s="315" t="str">
        <f>KOB!A1</f>
        <v>KOB</v>
      </c>
      <c r="B17" s="195">
        <f>KOB!G4</f>
        <v>55924.07</v>
      </c>
      <c r="C17" s="192">
        <f>KOB!H18</f>
        <v>0.22879625535300271</v>
      </c>
      <c r="D17" s="178" t="s">
        <v>6</v>
      </c>
      <c r="E17" s="1">
        <f t="shared" si="1"/>
        <v>12795.217800099199</v>
      </c>
    </row>
    <row r="18" spans="1:10">
      <c r="A18" s="170" t="str">
        <f>STO!A1</f>
        <v>STO</v>
      </c>
      <c r="B18" s="195">
        <f>STO!I4</f>
        <v>67761.17</v>
      </c>
      <c r="C18" s="192">
        <f>STO!J19</f>
        <v>0.21835452516537121</v>
      </c>
      <c r="D18" s="178" t="s">
        <v>5</v>
      </c>
      <c r="E18" s="1">
        <f t="shared" si="1"/>
        <v>14795.958099999996</v>
      </c>
      <c r="J18" s="256"/>
    </row>
    <row r="19" spans="1:10">
      <c r="A19" s="170" t="str">
        <f>LIN!A1</f>
        <v>LIN</v>
      </c>
      <c r="B19" s="195">
        <f>LIN!G4</f>
        <v>55000</v>
      </c>
      <c r="C19" s="192">
        <f>LIN!H19</f>
        <v>0.21745474472773096</v>
      </c>
      <c r="D19" s="178" t="s">
        <v>4</v>
      </c>
      <c r="E19" s="1">
        <f t="shared" si="1"/>
        <v>11960.010960025204</v>
      </c>
    </row>
    <row r="20" spans="1:10">
      <c r="A20" s="315" t="str">
        <f>GRA!A1</f>
        <v>GRA</v>
      </c>
      <c r="B20" s="195">
        <f>GRA!K4</f>
        <v>46715.75</v>
      </c>
      <c r="C20" s="193">
        <f>GRA!L19</f>
        <v>0.1862686878631383</v>
      </c>
      <c r="D20" s="194" t="s">
        <v>7</v>
      </c>
      <c r="E20" s="1">
        <f t="shared" si="1"/>
        <v>8701.6814550424024</v>
      </c>
      <c r="J20" s="256"/>
    </row>
    <row r="21" spans="1:10">
      <c r="A21" s="170" t="str">
        <f>FRA!A1</f>
        <v>FRA</v>
      </c>
      <c r="B21" s="195">
        <f>FRA!Q4</f>
        <v>172086.30000000002</v>
      </c>
      <c r="C21" s="192">
        <f>FRA!R18</f>
        <v>0.15128761379210565</v>
      </c>
      <c r="D21" s="178" t="s">
        <v>26</v>
      </c>
      <c r="E21" s="1">
        <f t="shared" si="1"/>
        <v>26034.525693312433</v>
      </c>
    </row>
    <row r="22" spans="1:10">
      <c r="A22" s="295" t="str">
        <f>SEI!A1</f>
        <v>SEI</v>
      </c>
      <c r="B22" s="1">
        <f>SEI!I4</f>
        <v>73896.3</v>
      </c>
      <c r="C22" s="379">
        <f>SEI!J19</f>
        <v>0.17051596412685888</v>
      </c>
      <c r="D22" t="s">
        <v>4</v>
      </c>
      <c r="E22" s="1">
        <f t="shared" si="1"/>
        <v>12600.498839907603</v>
      </c>
    </row>
    <row r="23" spans="1:10">
      <c r="A23" s="170" t="str">
        <f>MAT!A1</f>
        <v>MAT</v>
      </c>
      <c r="B23" s="195">
        <f>MAT!O4</f>
        <v>88148.25</v>
      </c>
      <c r="C23" s="192">
        <f>MAT!P19</f>
        <v>0.15548415124254419</v>
      </c>
      <c r="D23" s="178" t="s">
        <v>27</v>
      </c>
      <c r="E23" s="1">
        <f t="shared" si="1"/>
        <v>13705.655834765596</v>
      </c>
    </row>
    <row r="24" spans="1:10">
      <c r="A24" s="170" t="str">
        <f>ING!A1</f>
        <v>ING</v>
      </c>
      <c r="B24" s="195">
        <f>ING!G4</f>
        <v>62500</v>
      </c>
      <c r="C24" s="192">
        <f>ING!H19</f>
        <v>0.1151060400874496</v>
      </c>
      <c r="D24" s="178" t="s">
        <v>9</v>
      </c>
      <c r="E24" s="1">
        <f t="shared" si="1"/>
        <v>7194.1275054655998</v>
      </c>
    </row>
    <row r="25" spans="1:10">
      <c r="A25" s="170" t="str">
        <f>LEI!A1</f>
        <v>LEI</v>
      </c>
      <c r="B25" s="195">
        <f>LEI!G4</f>
        <v>87326.23</v>
      </c>
      <c r="C25" s="192">
        <f>LEI!H19</f>
        <v>0.11172862373080798</v>
      </c>
      <c r="D25" s="178" t="s">
        <v>4</v>
      </c>
      <c r="E25" s="1">
        <f t="shared" si="1"/>
        <v>9756.839493499996</v>
      </c>
    </row>
    <row r="26" spans="1:10">
      <c r="A26" s="170" t="str">
        <f>OLA!A1</f>
        <v>OLA</v>
      </c>
      <c r="B26" s="195">
        <f>OLA!I4</f>
        <v>130911.05</v>
      </c>
      <c r="C26" s="192">
        <f>OLA!J18</f>
        <v>9.1385282619402944E-2</v>
      </c>
      <c r="D26" s="178" t="s">
        <v>9</v>
      </c>
      <c r="E26" s="1">
        <f t="shared" si="1"/>
        <v>11963.34330225279</v>
      </c>
    </row>
    <row r="27" spans="1:10">
      <c r="A27" s="170" t="str">
        <f>STK!A1</f>
        <v>STK</v>
      </c>
      <c r="B27" s="195">
        <f>STK!I4</f>
        <v>7504.45</v>
      </c>
      <c r="C27" s="192">
        <f>STK!J18</f>
        <v>7.3841115937130636E-2</v>
      </c>
      <c r="D27" s="178" t="s">
        <v>8</v>
      </c>
      <c r="E27" s="1">
        <f t="shared" si="1"/>
        <v>554.1369624944</v>
      </c>
    </row>
    <row r="28" spans="1:10">
      <c r="A28" s="295" t="str">
        <f>SPICE!A1</f>
        <v xml:space="preserve">SPICE </v>
      </c>
      <c r="B28" s="1">
        <f>SPICE!K4</f>
        <v>4728.1899999999996</v>
      </c>
      <c r="C28" s="379">
        <f>SPICE!H19</f>
        <v>0.53562504236758668</v>
      </c>
      <c r="D28" s="179"/>
      <c r="E28" s="1">
        <f>SPICE!G19</f>
        <v>2532.5369690719995</v>
      </c>
    </row>
  </sheetData>
  <autoFilter ref="A1:D26" xr:uid="{3D06E0F5-2AC2-493F-8F62-2D63F320C626}">
    <sortState xmlns:xlrd2="http://schemas.microsoft.com/office/spreadsheetml/2017/richdata2" ref="A2:D28">
      <sortCondition descending="1" ref="C1:C26"/>
    </sortState>
  </autoFilter>
  <sortState xmlns:xlrd2="http://schemas.microsoft.com/office/spreadsheetml/2017/richdata2" ref="A2:D26">
    <sortCondition ref="C2:C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943E-2726-46A5-944D-981E7E12DB47}">
  <sheetPr>
    <pageSetUpPr fitToPage="1"/>
  </sheetPr>
  <dimension ref="A1:AC141"/>
  <sheetViews>
    <sheetView topLeftCell="A65" workbookViewId="0">
      <selection activeCell="L77" sqref="L77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6.140625" customWidth="1" outlineLevel="1"/>
    <col min="6" max="6" width="10.140625" customWidth="1" outlineLevel="1"/>
    <col min="7" max="7" width="10.7109375" customWidth="1" outlineLevel="1"/>
    <col min="8" max="8" width="16.28515625" customWidth="1" outlineLevel="1"/>
    <col min="9" max="9" width="10.7109375" customWidth="1" outlineLevel="1"/>
    <col min="10" max="10" width="10.140625" customWidth="1" outlineLevel="1"/>
    <col min="11" max="12" width="10.7109375" customWidth="1"/>
    <col min="13" max="13" width="3.28515625" customWidth="1"/>
    <col min="14" max="14" width="0.5703125" hidden="1" customWidth="1" outlineLevel="1"/>
    <col min="15" max="15" width="9.7109375" hidden="1" customWidth="1" outlineLevel="1" collapsed="1"/>
    <col min="16" max="19" width="9.7109375" hidden="1" customWidth="1" outlineLevel="1"/>
    <col min="20" max="24" width="9.140625" hidden="1" customWidth="1" outlineLevel="1"/>
    <col min="25" max="25" width="3.140625" hidden="1" customWidth="1" outlineLevel="1"/>
    <col min="26" max="26" width="9.140625" hidden="1" customWidth="1" outlineLevel="1" collapsed="1"/>
    <col min="27" max="27" width="3" customWidth="1" collapsed="1"/>
    <col min="28" max="28" width="21.7109375" customWidth="1"/>
    <col min="29" max="29" width="17.140625" customWidth="1"/>
    <col min="30" max="30" width="12.7109375" customWidth="1"/>
  </cols>
  <sheetData>
    <row r="1" spans="1:29" ht="26.25">
      <c r="A1" s="187" t="s">
        <v>28</v>
      </c>
      <c r="B1" s="233" t="s">
        <v>29</v>
      </c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  <c r="AA1" s="634"/>
      <c r="AB1" s="634"/>
      <c r="AC1" s="634"/>
    </row>
    <row r="2" spans="1:29" ht="18.75">
      <c r="A2" s="635" t="s">
        <v>30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7"/>
      <c r="M2" s="7"/>
      <c r="N2" s="638" t="s">
        <v>31</v>
      </c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639"/>
      <c r="AA2" s="639"/>
      <c r="AB2" s="639"/>
      <c r="AC2" s="639"/>
    </row>
    <row r="3" spans="1:29" ht="30" customHeight="1">
      <c r="A3" s="78"/>
      <c r="C3" s="640" t="s">
        <v>32</v>
      </c>
      <c r="D3" s="641"/>
      <c r="E3" s="640" t="s">
        <v>33</v>
      </c>
      <c r="F3" s="641"/>
      <c r="G3" s="640" t="s">
        <v>34</v>
      </c>
      <c r="H3" s="641"/>
      <c r="I3" s="640" t="s">
        <v>35</v>
      </c>
      <c r="J3" s="641"/>
      <c r="K3" s="642" t="s">
        <v>36</v>
      </c>
      <c r="L3" s="643"/>
      <c r="N3" s="109" t="s">
        <v>37</v>
      </c>
      <c r="O3" s="644" t="s">
        <v>38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25"/>
      <c r="AA3" s="110"/>
      <c r="AB3" s="647" t="s">
        <v>39</v>
      </c>
      <c r="AC3" s="648"/>
    </row>
    <row r="4" spans="1:29" ht="14.25" customHeight="1">
      <c r="A4" s="79" t="s">
        <v>40</v>
      </c>
      <c r="B4" s="5" t="s">
        <v>41</v>
      </c>
      <c r="C4" s="77"/>
      <c r="E4" s="77"/>
      <c r="G4" s="77"/>
      <c r="I4" s="77"/>
      <c r="K4" s="142">
        <f>AC10</f>
        <v>16301.505500000001</v>
      </c>
      <c r="L4" s="80"/>
      <c r="N4" s="112" t="s">
        <v>42</v>
      </c>
      <c r="O4" s="28" t="s">
        <v>43</v>
      </c>
      <c r="P4" s="28" t="s">
        <v>44</v>
      </c>
      <c r="Q4" s="28" t="s">
        <v>45</v>
      </c>
      <c r="R4" s="29" t="s">
        <v>46</v>
      </c>
      <c r="S4" s="29" t="s">
        <v>47</v>
      </c>
      <c r="T4" s="160" t="s">
        <v>48</v>
      </c>
      <c r="U4" s="29"/>
      <c r="V4" s="29"/>
      <c r="W4" s="29"/>
      <c r="X4" s="29"/>
      <c r="Y4" s="29"/>
      <c r="Z4" s="627" t="s">
        <v>49</v>
      </c>
      <c r="AA4" s="110"/>
      <c r="AB4" s="30" t="s">
        <v>50</v>
      </c>
      <c r="AC4" s="31"/>
    </row>
    <row r="5" spans="1:29">
      <c r="A5" s="79" t="s">
        <v>51</v>
      </c>
      <c r="B5" s="5" t="s">
        <v>52</v>
      </c>
      <c r="C5" s="161">
        <f>C6+C7+C8+C9+C10+C11+C13+C14+C16+C15+C12</f>
        <v>5618.1367345440003</v>
      </c>
      <c r="D5" s="5"/>
      <c r="E5" s="161">
        <f>E6+E7+E8+E9+E10+E11+E13+E14+E16+E15+E12</f>
        <v>2175.3266605415993</v>
      </c>
      <c r="F5" s="5"/>
      <c r="G5" s="161">
        <f>G6+G7+G8+G9+G10+G11+G13+G14+G16+G15+G12</f>
        <v>5325.851382247999</v>
      </c>
      <c r="H5" s="5"/>
      <c r="I5" s="161">
        <f>I6+I7+I8+I9+I10+I11+I13+I14+I16+I15+I12</f>
        <v>605.96247338000001</v>
      </c>
      <c r="J5" s="5"/>
      <c r="K5" s="472">
        <f>K6+K7+K8+K9+K10+K11+K13+K14+K16+K15+K12</f>
        <v>14686.046850713599</v>
      </c>
      <c r="L5" s="81"/>
      <c r="N5" s="113"/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74"/>
      <c r="V5" s="74"/>
      <c r="W5" s="74"/>
      <c r="X5" s="74"/>
      <c r="Y5" s="33"/>
      <c r="Z5" s="628"/>
      <c r="AB5" s="34" t="s">
        <v>53</v>
      </c>
      <c r="AC5" s="35"/>
    </row>
    <row r="6" spans="1:29">
      <c r="A6" s="82" t="s">
        <v>54</v>
      </c>
      <c r="B6" s="75" t="s">
        <v>55</v>
      </c>
      <c r="C6" s="20">
        <f>2099.96+70.62-3.56-37.19+110.67</f>
        <v>2240.5</v>
      </c>
      <c r="D6" s="13">
        <f>C6+C7+C8</f>
        <v>2440.69</v>
      </c>
      <c r="E6" s="147">
        <f>58.92+74.16</f>
        <v>133.07999999999998</v>
      </c>
      <c r="F6" s="13">
        <f>E6+E7+E8</f>
        <v>228.62</v>
      </c>
      <c r="G6" s="147">
        <f>73.29+17.97-15.8+22.51+52.68+155.39-7.48-105.91-9.81+22.33+303.5+14.9+6.78+16.9+4.96+66.05+22.03+541.32+7.96+9</f>
        <v>1198.57</v>
      </c>
      <c r="H6" s="83">
        <f>G6+G7+G8</f>
        <v>1241.79</v>
      </c>
      <c r="I6" s="147">
        <f>48.86+51.43+4.73</f>
        <v>105.02</v>
      </c>
      <c r="J6" s="83">
        <f>I6+I7+I8</f>
        <v>105.02</v>
      </c>
      <c r="K6" s="21">
        <f t="shared" ref="K6:K8" si="0">C6+E6+G6+I6</f>
        <v>3677.1699999999996</v>
      </c>
      <c r="L6" s="84">
        <f>K6+K7+K8</f>
        <v>4016.12</v>
      </c>
      <c r="N6" s="114"/>
      <c r="O6" s="36">
        <v>0.2</v>
      </c>
      <c r="P6" s="37">
        <v>0.4</v>
      </c>
      <c r="Q6" s="37">
        <v>0.6</v>
      </c>
      <c r="R6" s="37">
        <v>0.8</v>
      </c>
      <c r="S6" s="37">
        <v>1</v>
      </c>
      <c r="T6" s="37"/>
      <c r="U6" s="37"/>
      <c r="V6" s="37"/>
      <c r="W6" s="37"/>
      <c r="X6" s="37"/>
      <c r="Y6" s="38"/>
      <c r="Z6" s="37">
        <f>S6</f>
        <v>1</v>
      </c>
      <c r="AB6" s="629"/>
      <c r="AC6" s="630"/>
    </row>
    <row r="7" spans="1:29">
      <c r="A7" s="85" t="s">
        <v>56</v>
      </c>
      <c r="B7" s="86" t="s">
        <v>57</v>
      </c>
      <c r="C7" s="127"/>
      <c r="D7" s="13"/>
      <c r="E7" s="145"/>
      <c r="F7" s="13"/>
      <c r="G7" s="145"/>
      <c r="H7" s="83"/>
      <c r="I7" s="145"/>
      <c r="J7" s="83"/>
      <c r="K7" s="21">
        <f t="shared" si="0"/>
        <v>0</v>
      </c>
      <c r="L7" s="84"/>
      <c r="N7" s="116"/>
      <c r="O7" s="42">
        <v>0.2</v>
      </c>
      <c r="P7" s="43">
        <v>0.4</v>
      </c>
      <c r="Q7" s="43">
        <v>0.6</v>
      </c>
      <c r="R7" s="43">
        <v>0.8</v>
      </c>
      <c r="S7" s="43">
        <v>1</v>
      </c>
      <c r="T7" s="43"/>
      <c r="U7" s="43"/>
      <c r="V7" s="43"/>
      <c r="W7" s="43"/>
      <c r="X7" s="43"/>
      <c r="Y7" s="44"/>
      <c r="Z7" s="45">
        <f>S7</f>
        <v>1</v>
      </c>
      <c r="AB7" s="46" t="s">
        <v>50</v>
      </c>
      <c r="AC7" s="47"/>
    </row>
    <row r="8" spans="1:29">
      <c r="A8" s="87" t="s">
        <v>58</v>
      </c>
      <c r="B8" s="76" t="s">
        <v>59</v>
      </c>
      <c r="C8" s="162">
        <v>200.19</v>
      </c>
      <c r="D8" s="14"/>
      <c r="E8" s="14">
        <v>95.54</v>
      </c>
      <c r="F8" s="14"/>
      <c r="G8" s="14">
        <v>43.22</v>
      </c>
      <c r="H8" s="88"/>
      <c r="I8" s="14"/>
      <c r="J8" s="88"/>
      <c r="K8" s="21">
        <f t="shared" si="0"/>
        <v>338.95000000000005</v>
      </c>
      <c r="L8" s="89"/>
      <c r="N8" s="117"/>
      <c r="O8" s="52"/>
      <c r="P8" s="52"/>
      <c r="Q8" s="52"/>
      <c r="R8" s="53"/>
      <c r="S8" s="54"/>
      <c r="T8" s="53">
        <f>AC11/AC10</f>
        <v>0</v>
      </c>
      <c r="U8" s="55"/>
      <c r="V8" s="55"/>
      <c r="W8" s="55"/>
      <c r="X8" s="55"/>
      <c r="Y8" s="55"/>
      <c r="Z8" s="53">
        <f>T8</f>
        <v>0</v>
      </c>
      <c r="AB8" s="56" t="s">
        <v>53</v>
      </c>
      <c r="AC8" s="73"/>
    </row>
    <row r="9" spans="1:29">
      <c r="A9" s="82" t="s">
        <v>60</v>
      </c>
      <c r="B9" s="75" t="s">
        <v>61</v>
      </c>
      <c r="C9" s="153">
        <f>(9*84+10*66+105.4+8*12.4)*1.42</f>
        <v>2301.252</v>
      </c>
      <c r="D9" s="141">
        <f>C9+C10+C11+C13+C12</f>
        <v>3071.6467345439996</v>
      </c>
      <c r="E9" s="148">
        <f>(313.5+99+289+263.07+55.02)*1.42</f>
        <v>1447.8177999999998</v>
      </c>
      <c r="F9" s="128">
        <f>E9+E10+E11+E13+E12</f>
        <v>1932.5066605415998</v>
      </c>
      <c r="G9" s="258">
        <f>(80*11+123.27*10)*1.42</f>
        <v>3000.0339999999997</v>
      </c>
      <c r="H9" s="128">
        <f>G9+G10+G11+G13+G12</f>
        <v>4004.3613822479997</v>
      </c>
      <c r="I9" s="258">
        <f>23.25*11*1.42</f>
        <v>363.16499999999996</v>
      </c>
      <c r="J9" s="128">
        <f>I9+I10+I11+I13+I12</f>
        <v>484.74247337999992</v>
      </c>
      <c r="K9" s="21">
        <f>C9+E9+G9+I9</f>
        <v>7112.2687999999989</v>
      </c>
      <c r="L9" s="90">
        <f>K9+K10+K11+K13+K12</f>
        <v>10454.026850713599</v>
      </c>
      <c r="N9" s="78"/>
    </row>
    <row r="10" spans="1:29">
      <c r="A10" s="85" t="s">
        <v>62</v>
      </c>
      <c r="B10" s="86" t="s">
        <v>63</v>
      </c>
      <c r="C10" s="126">
        <f>C9*0.2359</f>
        <v>542.8653468</v>
      </c>
      <c r="D10" s="13"/>
      <c r="E10" s="145">
        <f>E9*0.2359</f>
        <v>341.54021901999994</v>
      </c>
      <c r="F10" s="83"/>
      <c r="G10" s="259">
        <f>G9*0.2359</f>
        <v>707.70802059999994</v>
      </c>
      <c r="H10" s="83"/>
      <c r="I10" s="259">
        <f>I9*0.2359</f>
        <v>85.670623499999991</v>
      </c>
      <c r="J10" s="83"/>
      <c r="K10" s="21">
        <f t="shared" ref="K10:K16" si="1">C10+E10+G10+I10</f>
        <v>1677.78420992</v>
      </c>
      <c r="L10" s="89"/>
      <c r="N10" s="78"/>
      <c r="AB10" s="10" t="s">
        <v>64</v>
      </c>
      <c r="AC10" s="137">
        <f>14686.05*1.11-0.01</f>
        <v>16301.505500000001</v>
      </c>
    </row>
    <row r="11" spans="1:29">
      <c r="A11" s="85" t="s">
        <v>65</v>
      </c>
      <c r="B11" s="86" t="s">
        <v>66</v>
      </c>
      <c r="C11" s="126">
        <f>(C9+C10)*0.08</f>
        <v>227.52938774399999</v>
      </c>
      <c r="D11" s="13"/>
      <c r="E11" s="145">
        <f>(E9+E10)*0.08</f>
        <v>143.14864152159998</v>
      </c>
      <c r="F11" s="83"/>
      <c r="G11" s="259">
        <f>(G9+G10)*0.08</f>
        <v>296.61936164799999</v>
      </c>
      <c r="H11" s="83"/>
      <c r="I11" s="259">
        <f>(I9+I10)*0.08</f>
        <v>35.906849879999996</v>
      </c>
      <c r="J11" s="83"/>
      <c r="K11" s="21">
        <f t="shared" si="1"/>
        <v>703.20424079359998</v>
      </c>
      <c r="L11" s="89"/>
      <c r="N11" s="78"/>
      <c r="AB11" s="58" t="s">
        <v>67</v>
      </c>
      <c r="AC11" s="59"/>
    </row>
    <row r="12" spans="1:29">
      <c r="A12" s="91" t="s">
        <v>68</v>
      </c>
      <c r="B12" s="92" t="s">
        <v>21</v>
      </c>
      <c r="C12" s="127"/>
      <c r="D12" s="127"/>
      <c r="E12" s="127"/>
      <c r="F12" s="123"/>
      <c r="G12" s="127"/>
      <c r="H12" s="123"/>
      <c r="I12" s="127"/>
      <c r="J12" s="123"/>
      <c r="K12" s="21">
        <f>13725.28*0.07</f>
        <v>960.76960000000008</v>
      </c>
      <c r="L12" s="89"/>
      <c r="N12" s="78"/>
    </row>
    <row r="13" spans="1:29">
      <c r="A13" s="85" t="s">
        <v>69</v>
      </c>
      <c r="B13" s="86" t="s">
        <v>70</v>
      </c>
      <c r="C13" s="130"/>
      <c r="D13" s="134"/>
      <c r="E13" s="134"/>
      <c r="F13" s="125"/>
      <c r="G13" s="124"/>
      <c r="H13" s="125"/>
      <c r="I13" s="124"/>
      <c r="J13" s="125"/>
      <c r="K13" s="21">
        <f t="shared" si="1"/>
        <v>0</v>
      </c>
      <c r="L13" s="93"/>
      <c r="N13" s="78"/>
      <c r="AB13" s="60" t="s">
        <v>71</v>
      </c>
      <c r="AC13" s="61"/>
    </row>
    <row r="14" spans="1:29" ht="15.75" customHeight="1">
      <c r="A14" s="94" t="s">
        <v>72</v>
      </c>
      <c r="B14" s="75" t="s">
        <v>73</v>
      </c>
      <c r="C14" s="17"/>
      <c r="D14" s="145">
        <f>C14+C16+C15</f>
        <v>105.8</v>
      </c>
      <c r="E14" s="13"/>
      <c r="F14" s="145">
        <f>E14+E16+E15</f>
        <v>14.2</v>
      </c>
      <c r="G14" s="13"/>
      <c r="H14" s="145">
        <f>G14+G16+G15</f>
        <v>79.699999999999989</v>
      </c>
      <c r="I14" s="13"/>
      <c r="J14" s="145">
        <f>I14+I16+I15</f>
        <v>16.2</v>
      </c>
      <c r="K14" s="21">
        <f t="shared" si="1"/>
        <v>0</v>
      </c>
      <c r="L14" s="89">
        <f>K14+K16+K15</f>
        <v>215.89999999999998</v>
      </c>
      <c r="N14" s="78"/>
      <c r="AB14" s="62" t="s">
        <v>74</v>
      </c>
      <c r="AC14" s="62" t="s">
        <v>75</v>
      </c>
    </row>
    <row r="15" spans="1:29">
      <c r="A15" s="95" t="s">
        <v>76</v>
      </c>
      <c r="B15" s="86" t="s">
        <v>77</v>
      </c>
      <c r="C15" s="17"/>
      <c r="D15" s="13"/>
      <c r="E15" s="13"/>
      <c r="F15" s="13"/>
      <c r="G15" s="13"/>
      <c r="H15" s="13"/>
      <c r="I15" s="13"/>
      <c r="J15" s="13"/>
      <c r="K15" s="21">
        <f t="shared" si="1"/>
        <v>0</v>
      </c>
      <c r="L15" s="89"/>
      <c r="N15" s="78"/>
      <c r="AB15" s="63" t="s">
        <v>78</v>
      </c>
      <c r="AC15" s="64">
        <v>13</v>
      </c>
    </row>
    <row r="16" spans="1:29">
      <c r="A16" s="85" t="s">
        <v>79</v>
      </c>
      <c r="B16" s="86" t="s">
        <v>80</v>
      </c>
      <c r="C16" s="126">
        <f>105.8</f>
        <v>105.8</v>
      </c>
      <c r="D16" s="13"/>
      <c r="E16" s="145">
        <v>14.2</v>
      </c>
      <c r="F16" s="13"/>
      <c r="G16" s="145">
        <f>11.6+7.6+10.6+4.6+12.6+6.6+2.6+11.6+8.3+1.6+2</f>
        <v>79.699999999999989</v>
      </c>
      <c r="H16" s="13"/>
      <c r="I16" s="145">
        <f>7.6+8.6</f>
        <v>16.2</v>
      </c>
      <c r="J16" s="13"/>
      <c r="K16" s="21">
        <f t="shared" si="1"/>
        <v>215.89999999999998</v>
      </c>
      <c r="L16" s="89"/>
      <c r="N16" s="78"/>
      <c r="AB16" s="63" t="s">
        <v>81</v>
      </c>
      <c r="AC16" s="64">
        <v>12</v>
      </c>
    </row>
    <row r="17" spans="1:29">
      <c r="A17" s="79" t="s">
        <v>82</v>
      </c>
      <c r="B17" s="5" t="s">
        <v>83</v>
      </c>
      <c r="C17" s="157">
        <f>C4-C5</f>
        <v>-5618.1367345440003</v>
      </c>
      <c r="D17" s="121" t="e">
        <f>C17/C4</f>
        <v>#DIV/0!</v>
      </c>
      <c r="E17" s="157">
        <f>E4-E5</f>
        <v>-2175.3266605415993</v>
      </c>
      <c r="F17" s="122" t="e">
        <f>E17/E4</f>
        <v>#DIV/0!</v>
      </c>
      <c r="G17" s="157">
        <f>G4-G5</f>
        <v>-5325.851382247999</v>
      </c>
      <c r="H17" s="122" t="e">
        <f>G17/G4</f>
        <v>#DIV/0!</v>
      </c>
      <c r="I17" s="157">
        <f>I4-I5</f>
        <v>-605.96247338000001</v>
      </c>
      <c r="J17" s="122" t="e">
        <f>I17/I4</f>
        <v>#DIV/0!</v>
      </c>
      <c r="K17" s="15">
        <f>K4-K5</f>
        <v>1615.4586492864019</v>
      </c>
      <c r="L17" s="96">
        <f>K17/K4</f>
        <v>9.9098739640114938E-2</v>
      </c>
      <c r="N17" s="78"/>
    </row>
    <row r="18" spans="1:29" ht="30" customHeight="1">
      <c r="A18" s="97"/>
      <c r="B18" s="98"/>
      <c r="C18" s="98"/>
      <c r="D18" s="98"/>
      <c r="E18" s="98"/>
      <c r="F18" s="98"/>
      <c r="G18" s="98"/>
      <c r="H18" s="98"/>
      <c r="I18" s="98"/>
      <c r="J18" s="98"/>
      <c r="L18" s="99"/>
      <c r="N18" s="109" t="s">
        <v>37</v>
      </c>
      <c r="O18" s="631" t="s">
        <v>84</v>
      </c>
      <c r="P18" s="632"/>
      <c r="Q18" s="632"/>
      <c r="R18" s="632"/>
      <c r="S18" s="632"/>
      <c r="T18" s="632"/>
      <c r="U18" s="632"/>
      <c r="V18" s="632"/>
      <c r="W18" s="632"/>
      <c r="X18" s="632"/>
      <c r="Y18" s="633"/>
      <c r="Z18" s="26"/>
      <c r="AB18" s="620" t="s">
        <v>85</v>
      </c>
      <c r="AC18" s="620"/>
    </row>
    <row r="19" spans="1:29" ht="15.75" customHeight="1">
      <c r="A19" s="100" t="s">
        <v>86</v>
      </c>
      <c r="B19" s="4" t="s">
        <v>87</v>
      </c>
      <c r="C19" s="101"/>
      <c r="D19" s="101"/>
      <c r="E19" s="101"/>
      <c r="F19" s="101"/>
      <c r="G19" s="101"/>
      <c r="H19" s="101"/>
      <c r="I19" s="101"/>
      <c r="J19" s="101"/>
      <c r="L19" s="99"/>
      <c r="N19" s="112" t="s">
        <v>42</v>
      </c>
      <c r="O19" s="28" t="s">
        <v>43</v>
      </c>
      <c r="P19" s="28" t="s">
        <v>44</v>
      </c>
      <c r="Q19" s="28" t="s">
        <v>45</v>
      </c>
      <c r="R19" s="29" t="s">
        <v>46</v>
      </c>
      <c r="S19" s="29" t="s">
        <v>47</v>
      </c>
      <c r="T19" s="160" t="str">
        <f>T4</f>
        <v>13/06-21/06</v>
      </c>
      <c r="U19" s="28"/>
      <c r="V19" s="28"/>
      <c r="W19" s="28"/>
      <c r="X19" s="28"/>
      <c r="Y19" s="28"/>
      <c r="Z19" s="618" t="s">
        <v>49</v>
      </c>
      <c r="AB19" s="65" t="s">
        <v>50</v>
      </c>
      <c r="AC19" s="47"/>
    </row>
    <row r="20" spans="1:29">
      <c r="A20" s="102" t="s">
        <v>88</v>
      </c>
      <c r="B20" s="3">
        <f>L6/K5*100</f>
        <v>27.346501348011532</v>
      </c>
      <c r="C20" s="103"/>
      <c r="D20" s="103"/>
      <c r="E20" s="103"/>
      <c r="F20" s="103"/>
      <c r="G20" s="103"/>
      <c r="H20" s="103"/>
      <c r="I20" s="103"/>
      <c r="J20" s="103"/>
      <c r="L20" s="99"/>
      <c r="N20" s="112"/>
      <c r="O20" s="66">
        <v>1</v>
      </c>
      <c r="P20" s="66">
        <v>2</v>
      </c>
      <c r="Q20" s="66">
        <v>3</v>
      </c>
      <c r="R20" s="66">
        <v>4</v>
      </c>
      <c r="S20" s="66">
        <v>5</v>
      </c>
      <c r="T20" s="66">
        <v>6</v>
      </c>
      <c r="U20" s="66"/>
      <c r="V20" s="66"/>
      <c r="W20" s="66"/>
      <c r="X20" s="66"/>
      <c r="Y20" s="66"/>
      <c r="Z20" s="619"/>
      <c r="AB20" s="67" t="s">
        <v>53</v>
      </c>
      <c r="AC20" s="73">
        <f>K6+K7</f>
        <v>3677.1699999999996</v>
      </c>
    </row>
    <row r="21" spans="1:29">
      <c r="A21" s="104" t="s">
        <v>89</v>
      </c>
      <c r="B21" s="3">
        <f>L9/K5*100</f>
        <v>71.183395756398767</v>
      </c>
      <c r="C21" s="103"/>
      <c r="D21" s="103"/>
      <c r="E21" s="103"/>
      <c r="F21" s="103"/>
      <c r="G21" s="103"/>
      <c r="H21" s="103"/>
      <c r="I21" s="103"/>
      <c r="J21" s="103"/>
      <c r="L21" s="99"/>
      <c r="N21" s="118"/>
      <c r="O21" s="69">
        <f>Z21/5</f>
        <v>0</v>
      </c>
      <c r="P21" s="69">
        <f>O21</f>
        <v>0</v>
      </c>
      <c r="Q21" s="69">
        <f>O21</f>
        <v>0</v>
      </c>
      <c r="R21" s="69">
        <f>Q21</f>
        <v>0</v>
      </c>
      <c r="S21" s="69">
        <f>R21</f>
        <v>0</v>
      </c>
      <c r="T21" s="69"/>
      <c r="U21" s="69"/>
      <c r="V21" s="69"/>
      <c r="W21" s="69"/>
      <c r="X21" s="69"/>
      <c r="Y21" s="69"/>
      <c r="Z21" s="70">
        <f>AC19</f>
        <v>0</v>
      </c>
      <c r="AB21" s="620" t="s">
        <v>90</v>
      </c>
      <c r="AC21" s="620"/>
    </row>
    <row r="22" spans="1:29">
      <c r="A22" s="105" t="s">
        <v>91</v>
      </c>
      <c r="B22" s="2">
        <f>L14/K5*100</f>
        <v>1.470102895589696</v>
      </c>
      <c r="C22" s="103"/>
      <c r="D22" s="103"/>
      <c r="E22" s="103"/>
      <c r="F22" s="103"/>
      <c r="G22" s="103"/>
      <c r="H22" s="103"/>
      <c r="I22" s="103"/>
      <c r="J22" s="103"/>
      <c r="L22" s="99"/>
      <c r="N22" s="118"/>
      <c r="O22" s="71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1">
        <f t="shared" ref="Z22" si="2">O22+P22+Q22+R22+S22+T22+Y22+U22+V22+W22+X22</f>
        <v>0</v>
      </c>
      <c r="AB22" s="65" t="s">
        <v>50</v>
      </c>
      <c r="AC22" s="47">
        <v>0</v>
      </c>
    </row>
    <row r="23" spans="1:29">
      <c r="A23" s="78"/>
      <c r="L23" s="99"/>
      <c r="N23" s="78"/>
      <c r="AB23" s="67" t="s">
        <v>53</v>
      </c>
      <c r="AC23" s="73">
        <v>0</v>
      </c>
    </row>
    <row r="24" spans="1:29">
      <c r="A24" s="78"/>
      <c r="L24" s="99"/>
      <c r="N24" s="78"/>
      <c r="Z24" s="120"/>
    </row>
    <row r="25" spans="1:29" ht="30.75">
      <c r="A25" s="78"/>
      <c r="L25" s="99"/>
      <c r="N25" s="78"/>
      <c r="AB25" s="10" t="s">
        <v>92</v>
      </c>
      <c r="AC25" s="136"/>
    </row>
    <row r="26" spans="1:29" ht="30.75">
      <c r="A26" s="78"/>
      <c r="L26" s="99"/>
      <c r="N26" s="78"/>
      <c r="AB26" s="10" t="s">
        <v>93</v>
      </c>
      <c r="AC26" s="136"/>
    </row>
    <row r="27" spans="1:29">
      <c r="A27" s="78"/>
      <c r="L27" s="99"/>
      <c r="N27" s="78"/>
    </row>
    <row r="28" spans="1:29">
      <c r="A28" s="78"/>
      <c r="L28" s="99"/>
      <c r="N28" s="78"/>
    </row>
    <row r="29" spans="1:29">
      <c r="A29" s="78"/>
      <c r="L29" s="99"/>
      <c r="N29" s="78"/>
    </row>
    <row r="30" spans="1:29">
      <c r="A30" s="78"/>
      <c r="L30" s="99"/>
      <c r="N30" s="78"/>
      <c r="AB30" s="621" t="s">
        <v>94</v>
      </c>
      <c r="AC30" s="622"/>
    </row>
    <row r="31" spans="1:29">
      <c r="A31" s="78"/>
      <c r="L31" s="99"/>
      <c r="N31" s="78"/>
      <c r="AB31" s="623">
        <v>45397</v>
      </c>
      <c r="AC31" s="624"/>
    </row>
    <row r="32" spans="1:29">
      <c r="A32" s="106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8"/>
      <c r="N32" s="106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625"/>
      <c r="AC32" s="626"/>
    </row>
    <row r="36" spans="1:29">
      <c r="A36" t="s">
        <v>95</v>
      </c>
    </row>
    <row r="37" spans="1:29">
      <c r="A37" t="s">
        <v>96</v>
      </c>
      <c r="M37" s="1"/>
    </row>
    <row r="40" spans="1:29" ht="26.25">
      <c r="A40" s="187" t="s">
        <v>97</v>
      </c>
      <c r="B40" s="233" t="s">
        <v>98</v>
      </c>
      <c r="C40" s="634"/>
      <c r="D40" s="634"/>
      <c r="E40" s="634"/>
      <c r="F40" s="634"/>
      <c r="G40" s="634"/>
      <c r="H40" s="634"/>
      <c r="I40" s="634"/>
      <c r="J40" s="634"/>
      <c r="K40" s="634"/>
      <c r="L40" s="634"/>
      <c r="M40" s="634"/>
      <c r="N40" s="634"/>
      <c r="O40" s="634"/>
      <c r="P40" s="634"/>
      <c r="Q40" s="634"/>
      <c r="R40" s="634"/>
      <c r="S40" s="634"/>
      <c r="T40" s="634"/>
      <c r="U40" s="634"/>
      <c r="V40" s="634"/>
      <c r="W40" s="634"/>
      <c r="X40" s="634"/>
      <c r="Y40" s="634"/>
      <c r="Z40" s="634"/>
      <c r="AA40" s="634"/>
      <c r="AB40" s="634"/>
      <c r="AC40" s="634"/>
    </row>
    <row r="41" spans="1:29" ht="18.75">
      <c r="A41" s="635" t="s">
        <v>30</v>
      </c>
      <c r="B41" s="636"/>
      <c r="C41" s="636"/>
      <c r="D41" s="636"/>
      <c r="E41" s="636"/>
      <c r="F41" s="636"/>
      <c r="G41" s="636"/>
      <c r="H41" s="636"/>
      <c r="I41" s="636"/>
      <c r="J41" s="636"/>
      <c r="K41" s="636"/>
      <c r="L41" s="637"/>
      <c r="M41" s="7"/>
      <c r="N41" s="638" t="s">
        <v>31</v>
      </c>
      <c r="O41" s="639"/>
      <c r="P41" s="639"/>
      <c r="Q41" s="639"/>
      <c r="R41" s="639"/>
      <c r="S41" s="639"/>
      <c r="T41" s="639"/>
      <c r="U41" s="639"/>
      <c r="V41" s="639"/>
      <c r="W41" s="639"/>
      <c r="X41" s="639"/>
      <c r="Y41" s="639"/>
      <c r="Z41" s="639"/>
      <c r="AA41" s="639"/>
      <c r="AB41" s="639"/>
      <c r="AC41" s="639"/>
    </row>
    <row r="42" spans="1:29">
      <c r="A42" s="78"/>
      <c r="C42" s="640" t="s">
        <v>34</v>
      </c>
      <c r="D42" s="641"/>
      <c r="E42" s="640" t="s">
        <v>35</v>
      </c>
      <c r="F42" s="641"/>
      <c r="G42" s="640" t="s">
        <v>99</v>
      </c>
      <c r="H42" s="641"/>
      <c r="I42" s="640"/>
      <c r="J42" s="641"/>
      <c r="K42" s="642" t="s">
        <v>36</v>
      </c>
      <c r="L42" s="643"/>
      <c r="N42" s="109" t="s">
        <v>37</v>
      </c>
      <c r="O42" s="644" t="s">
        <v>38</v>
      </c>
      <c r="P42" s="645"/>
      <c r="Q42" s="645"/>
      <c r="R42" s="645"/>
      <c r="S42" s="645"/>
      <c r="T42" s="645"/>
      <c r="U42" s="645"/>
      <c r="V42" s="645"/>
      <c r="W42" s="645"/>
      <c r="X42" s="645"/>
      <c r="Y42" s="646"/>
      <c r="Z42" s="25"/>
      <c r="AA42" s="110"/>
      <c r="AB42" s="647" t="s">
        <v>39</v>
      </c>
      <c r="AC42" s="648"/>
    </row>
    <row r="43" spans="1:29">
      <c r="A43" s="79" t="s">
        <v>40</v>
      </c>
      <c r="B43" s="5" t="s">
        <v>41</v>
      </c>
      <c r="C43" s="77">
        <f>AC49</f>
        <v>3000</v>
      </c>
      <c r="E43" s="77">
        <f>AC50</f>
        <v>4000</v>
      </c>
      <c r="G43" s="77"/>
      <c r="I43" s="77"/>
      <c r="K43" s="142">
        <f>C43+E43+G43+I43</f>
        <v>7000</v>
      </c>
      <c r="L43" s="80"/>
      <c r="N43" s="112" t="s">
        <v>42</v>
      </c>
      <c r="O43" s="28" t="s">
        <v>43</v>
      </c>
      <c r="P43" s="28" t="s">
        <v>44</v>
      </c>
      <c r="Q43" s="28" t="s">
        <v>45</v>
      </c>
      <c r="R43" s="29" t="s">
        <v>46</v>
      </c>
      <c r="S43" s="29" t="s">
        <v>47</v>
      </c>
      <c r="T43" s="160" t="s">
        <v>48</v>
      </c>
      <c r="U43" s="29"/>
      <c r="V43" s="29"/>
      <c r="W43" s="29"/>
      <c r="X43" s="29"/>
      <c r="Y43" s="29"/>
      <c r="Z43" s="627" t="s">
        <v>49</v>
      </c>
      <c r="AA43" s="110"/>
      <c r="AB43" s="30" t="s">
        <v>50</v>
      </c>
      <c r="AC43" s="31">
        <f>Z45</f>
        <v>1</v>
      </c>
    </row>
    <row r="44" spans="1:29">
      <c r="A44" s="79" t="s">
        <v>51</v>
      </c>
      <c r="B44" s="5" t="s">
        <v>52</v>
      </c>
      <c r="C44" s="161">
        <f>C45+C46+C47+C48+C49+C50+C52+C53+C55+C54+C51</f>
        <v>7081.5553319999999</v>
      </c>
      <c r="D44" s="5"/>
      <c r="E44" s="161">
        <f>E45+E46+E47+E48+E49+E50+E52+E53+E55+E54+E51</f>
        <v>0</v>
      </c>
      <c r="F44" s="5"/>
      <c r="G44" s="161">
        <f>G45+G46+G47+G48+G49+G50+G52+G53+G55+G54+G51</f>
        <v>727.83</v>
      </c>
      <c r="H44" s="5"/>
      <c r="I44" s="161">
        <f>I45+I46+I47+I48+I49+I50+I52+I53+I55+I54+I51</f>
        <v>0</v>
      </c>
      <c r="J44" s="5"/>
      <c r="K44" s="143">
        <f>K45+K46+K47+K48+K49+K50+K52+K53+K55+K54+K51</f>
        <v>7081.5553319999999</v>
      </c>
      <c r="L44" s="81"/>
      <c r="N44" s="113"/>
      <c r="O44" s="74">
        <v>1</v>
      </c>
      <c r="P44" s="74">
        <v>2</v>
      </c>
      <c r="Q44" s="74">
        <v>3</v>
      </c>
      <c r="R44" s="74">
        <v>4</v>
      </c>
      <c r="S44" s="74">
        <v>5</v>
      </c>
      <c r="T44" s="74">
        <v>6</v>
      </c>
      <c r="U44" s="74"/>
      <c r="V44" s="74"/>
      <c r="W44" s="74"/>
      <c r="X44" s="74"/>
      <c r="Y44" s="33"/>
      <c r="Z44" s="628"/>
      <c r="AB44" s="34" t="s">
        <v>53</v>
      </c>
      <c r="AC44" s="35">
        <f>Z46+Z47</f>
        <v>2.333333333333333</v>
      </c>
    </row>
    <row r="45" spans="1:29">
      <c r="A45" s="82" t="s">
        <v>54</v>
      </c>
      <c r="B45" s="75" t="s">
        <v>55</v>
      </c>
      <c r="C45" s="20">
        <f>102.24+293.46+131.91+10.02+208.98+20.18</f>
        <v>766.79</v>
      </c>
      <c r="D45" s="13">
        <f>C45+C46+C47</f>
        <v>2565.17</v>
      </c>
      <c r="E45" s="147"/>
      <c r="F45" s="13">
        <f>E45+E46+E47</f>
        <v>0</v>
      </c>
      <c r="G45" s="497">
        <f>399.6+328.23</f>
        <v>727.83</v>
      </c>
      <c r="H45" s="13">
        <f>G45+G46+G47</f>
        <v>727.83</v>
      </c>
      <c r="I45" s="147"/>
      <c r="J45" s="13">
        <f>I45+I46+I47</f>
        <v>0</v>
      </c>
      <c r="K45" s="9">
        <f>C45+E45</f>
        <v>766.79</v>
      </c>
      <c r="L45" s="84">
        <f>K45+K46+K47</f>
        <v>2565.17</v>
      </c>
      <c r="N45" s="114"/>
      <c r="O45" s="36">
        <v>0.2</v>
      </c>
      <c r="P45" s="37">
        <v>0.4</v>
      </c>
      <c r="Q45" s="37">
        <v>0.6</v>
      </c>
      <c r="R45" s="37">
        <v>0.8</v>
      </c>
      <c r="S45" s="37">
        <v>1</v>
      </c>
      <c r="T45" s="37"/>
      <c r="U45" s="37"/>
      <c r="V45" s="37"/>
      <c r="W45" s="37"/>
      <c r="X45" s="37"/>
      <c r="Y45" s="38"/>
      <c r="Z45" s="37">
        <f>S45</f>
        <v>1</v>
      </c>
      <c r="AB45" s="629" t="s">
        <v>100</v>
      </c>
      <c r="AC45" s="630"/>
    </row>
    <row r="46" spans="1:29">
      <c r="A46" s="85" t="s">
        <v>56</v>
      </c>
      <c r="B46" s="86" t="s">
        <v>57</v>
      </c>
      <c r="C46" s="127"/>
      <c r="D46" s="13"/>
      <c r="E46" s="145"/>
      <c r="F46" s="13"/>
      <c r="G46" s="145"/>
      <c r="H46" s="13"/>
      <c r="I46" s="145"/>
      <c r="J46" s="13"/>
      <c r="K46" s="9">
        <f t="shared" ref="K46:K55" si="3">C46+E46</f>
        <v>0</v>
      </c>
      <c r="L46" s="84"/>
      <c r="N46" s="116"/>
      <c r="O46" s="42">
        <v>0.2</v>
      </c>
      <c r="P46" s="43">
        <v>0.4</v>
      </c>
      <c r="Q46" s="43">
        <v>0.6</v>
      </c>
      <c r="R46" s="43">
        <v>0.8</v>
      </c>
      <c r="S46" s="43">
        <v>1</v>
      </c>
      <c r="T46" s="43"/>
      <c r="U46" s="43"/>
      <c r="V46" s="43"/>
      <c r="W46" s="43"/>
      <c r="X46" s="43"/>
      <c r="Y46" s="44"/>
      <c r="Z46" s="45">
        <f>S46</f>
        <v>1</v>
      </c>
      <c r="AB46" s="46" t="s">
        <v>50</v>
      </c>
      <c r="AC46" s="47">
        <v>0</v>
      </c>
    </row>
    <row r="47" spans="1:29">
      <c r="A47" s="87" t="s">
        <v>58</v>
      </c>
      <c r="B47" s="76" t="s">
        <v>59</v>
      </c>
      <c r="C47" s="162">
        <f>343.49+220.66+357.14+345.77+131.94+199.69*2</f>
        <v>1798.38</v>
      </c>
      <c r="D47" s="14"/>
      <c r="E47" s="14"/>
      <c r="F47" s="14"/>
      <c r="G47" s="14"/>
      <c r="H47" s="14"/>
      <c r="I47" s="14"/>
      <c r="J47" s="14"/>
      <c r="K47" s="9">
        <f t="shared" si="3"/>
        <v>1798.38</v>
      </c>
      <c r="L47" s="89"/>
      <c r="N47" s="117"/>
      <c r="O47" s="52"/>
      <c r="P47" s="52"/>
      <c r="Q47" s="52"/>
      <c r="R47" s="53"/>
      <c r="S47" s="54"/>
      <c r="T47" s="53">
        <f>AC50/AC49</f>
        <v>1.3333333333333333</v>
      </c>
      <c r="U47" s="55"/>
      <c r="V47" s="55"/>
      <c r="W47" s="55"/>
      <c r="X47" s="55"/>
      <c r="Y47" s="55"/>
      <c r="Z47" s="53">
        <f>T47</f>
        <v>1.3333333333333333</v>
      </c>
      <c r="AB47" s="56" t="s">
        <v>53</v>
      </c>
      <c r="AC47" s="73">
        <v>0</v>
      </c>
    </row>
    <row r="48" spans="1:29">
      <c r="A48" s="82" t="s">
        <v>60</v>
      </c>
      <c r="B48" s="75" t="s">
        <v>61</v>
      </c>
      <c r="C48" s="257">
        <f>390+780/2+(50*11+100*10)*1.42</f>
        <v>2981</v>
      </c>
      <c r="D48" s="141">
        <f>C48+C49+C50+C52+C51</f>
        <v>4188.9553320000005</v>
      </c>
      <c r="E48" s="148"/>
      <c r="F48" s="128">
        <f>E48+E49+E50+E52+E51</f>
        <v>0</v>
      </c>
      <c r="G48" s="156"/>
      <c r="H48" s="128">
        <f>G48+G49+G50+G52+G51</f>
        <v>0</v>
      </c>
      <c r="I48" s="156"/>
      <c r="J48" s="128">
        <f>I48+I49+I50+I52+I51</f>
        <v>0</v>
      </c>
      <c r="K48" s="21">
        <f t="shared" si="3"/>
        <v>2981</v>
      </c>
      <c r="L48" s="90">
        <f>K48+K49+K50+K52+K51</f>
        <v>4188.9553320000005</v>
      </c>
      <c r="N48" s="78"/>
    </row>
    <row r="49" spans="1:29">
      <c r="A49" s="85" t="s">
        <v>62</v>
      </c>
      <c r="B49" s="86" t="s">
        <v>63</v>
      </c>
      <c r="C49" s="126">
        <f>C48*0.2359</f>
        <v>703.21789999999999</v>
      </c>
      <c r="D49" s="13"/>
      <c r="E49" s="145">
        <f>E48*0.2359</f>
        <v>0</v>
      </c>
      <c r="F49" s="83"/>
      <c r="G49" s="126">
        <f>G48*0.2359</f>
        <v>0</v>
      </c>
      <c r="H49" s="83"/>
      <c r="I49" s="126">
        <f>I48*0.2359</f>
        <v>0</v>
      </c>
      <c r="J49" s="83"/>
      <c r="K49" s="22">
        <f t="shared" si="3"/>
        <v>703.21789999999999</v>
      </c>
      <c r="L49" s="89"/>
      <c r="N49" s="78"/>
      <c r="AB49" s="10" t="s">
        <v>64</v>
      </c>
      <c r="AC49" s="57">
        <v>3000</v>
      </c>
    </row>
    <row r="50" spans="1:29">
      <c r="A50" s="85" t="s">
        <v>65</v>
      </c>
      <c r="B50" s="86" t="s">
        <v>66</v>
      </c>
      <c r="C50" s="126">
        <f>(C48+C49)*0.08</f>
        <v>294.73743200000001</v>
      </c>
      <c r="D50" s="13"/>
      <c r="E50" s="145">
        <f>(E48+E49)*0.08</f>
        <v>0</v>
      </c>
      <c r="F50" s="83"/>
      <c r="G50" s="126">
        <f>(G48+G49)*0.08</f>
        <v>0</v>
      </c>
      <c r="H50" s="83"/>
      <c r="I50" s="126">
        <f>(I48+I49)*0.08</f>
        <v>0</v>
      </c>
      <c r="J50" s="83"/>
      <c r="K50" s="22">
        <f t="shared" si="3"/>
        <v>294.73743200000001</v>
      </c>
      <c r="L50" s="89"/>
      <c r="N50" s="78"/>
      <c r="AB50" s="58" t="s">
        <v>67</v>
      </c>
      <c r="AC50" s="59">
        <v>4000</v>
      </c>
    </row>
    <row r="51" spans="1:29">
      <c r="A51" s="91" t="s">
        <v>68</v>
      </c>
      <c r="B51" s="92" t="s">
        <v>21</v>
      </c>
      <c r="C51" s="127">
        <f>(C43)*0.07</f>
        <v>210.00000000000003</v>
      </c>
      <c r="D51" s="133"/>
      <c r="E51" s="147">
        <f>(E52+E50+E49+E48)*0.07</f>
        <v>0</v>
      </c>
      <c r="F51" s="123"/>
      <c r="G51" s="127">
        <f>(G52+G50+G49+G48)*0.07</f>
        <v>0</v>
      </c>
      <c r="H51" s="123"/>
      <c r="I51" s="127">
        <f>(I52+I50+I49+I48)*0.07</f>
        <v>0</v>
      </c>
      <c r="J51" s="123"/>
      <c r="K51" s="22">
        <f t="shared" si="3"/>
        <v>210.00000000000003</v>
      </c>
      <c r="L51" s="89"/>
      <c r="N51" s="78"/>
    </row>
    <row r="52" spans="1:29">
      <c r="A52" s="85" t="s">
        <v>69</v>
      </c>
      <c r="B52" s="86" t="s">
        <v>70</v>
      </c>
      <c r="C52" s="130"/>
      <c r="D52" s="134"/>
      <c r="E52" s="134"/>
      <c r="F52" s="125"/>
      <c r="G52" s="124"/>
      <c r="H52" s="125"/>
      <c r="I52" s="124"/>
      <c r="J52" s="125"/>
      <c r="K52" s="23">
        <f t="shared" si="3"/>
        <v>0</v>
      </c>
      <c r="L52" s="93"/>
      <c r="N52" s="78"/>
      <c r="AB52" s="60" t="s">
        <v>71</v>
      </c>
      <c r="AC52" s="61"/>
    </row>
    <row r="53" spans="1:29" ht="30.75">
      <c r="A53" s="94" t="s">
        <v>72</v>
      </c>
      <c r="B53" s="75" t="s">
        <v>73</v>
      </c>
      <c r="C53" s="17"/>
      <c r="D53" s="145">
        <f>C53+C55+C54</f>
        <v>327.43</v>
      </c>
      <c r="E53" s="13"/>
      <c r="F53" s="145">
        <f>E53+E55+E54</f>
        <v>0</v>
      </c>
      <c r="G53" s="13"/>
      <c r="H53" s="145">
        <f>G53+G55+G54</f>
        <v>0</v>
      </c>
      <c r="I53" s="13"/>
      <c r="J53" s="145">
        <f>I53+I55+I54</f>
        <v>0</v>
      </c>
      <c r="K53" s="9">
        <f t="shared" si="3"/>
        <v>0</v>
      </c>
      <c r="L53" s="89">
        <f>K53+K55+K54</f>
        <v>327.43</v>
      </c>
      <c r="N53" s="78"/>
      <c r="AB53" s="62" t="s">
        <v>74</v>
      </c>
      <c r="AC53" s="62" t="s">
        <v>75</v>
      </c>
    </row>
    <row r="54" spans="1:29">
      <c r="A54" s="95" t="s">
        <v>76</v>
      </c>
      <c r="B54" s="86" t="s">
        <v>77</v>
      </c>
      <c r="C54" s="17"/>
      <c r="D54" s="13"/>
      <c r="E54" s="13"/>
      <c r="F54" s="13"/>
      <c r="G54" s="13"/>
      <c r="H54" s="13"/>
      <c r="I54" s="13"/>
      <c r="J54" s="13"/>
      <c r="K54" s="9">
        <f t="shared" si="3"/>
        <v>0</v>
      </c>
      <c r="L54" s="89"/>
      <c r="N54" s="78"/>
      <c r="AB54" s="63" t="s">
        <v>78</v>
      </c>
      <c r="AC54" s="64">
        <v>13</v>
      </c>
    </row>
    <row r="55" spans="1:29">
      <c r="A55" s="85" t="s">
        <v>79</v>
      </c>
      <c r="B55" s="86" t="s">
        <v>80</v>
      </c>
      <c r="C55" s="126">
        <f>165.13+125+37.3</f>
        <v>327.43</v>
      </c>
      <c r="D55" s="13"/>
      <c r="E55" s="145"/>
      <c r="F55" s="13"/>
      <c r="G55" s="145"/>
      <c r="H55" s="13"/>
      <c r="I55" s="145"/>
      <c r="J55" s="13"/>
      <c r="K55" s="9">
        <f t="shared" si="3"/>
        <v>327.43</v>
      </c>
      <c r="L55" s="89"/>
      <c r="N55" s="78"/>
      <c r="AB55" s="63" t="s">
        <v>81</v>
      </c>
      <c r="AC55" s="64">
        <v>12</v>
      </c>
    </row>
    <row r="56" spans="1:29">
      <c r="A56" s="79" t="s">
        <v>82</v>
      </c>
      <c r="B56" s="5" t="s">
        <v>83</v>
      </c>
      <c r="C56" s="157">
        <f>C43-C44</f>
        <v>-4081.5553319999999</v>
      </c>
      <c r="D56" s="121">
        <f>C56/C43</f>
        <v>-1.360518444</v>
      </c>
      <c r="E56" s="157">
        <f>E43-E44</f>
        <v>4000</v>
      </c>
      <c r="F56" s="122">
        <f>E56/E43</f>
        <v>1</v>
      </c>
      <c r="G56" s="157">
        <f>G43-G44</f>
        <v>-727.83</v>
      </c>
      <c r="H56" s="122" t="e">
        <f>G56/G43</f>
        <v>#DIV/0!</v>
      </c>
      <c r="I56" s="157">
        <f>I43-I44</f>
        <v>0</v>
      </c>
      <c r="J56" s="122" t="e">
        <f>I56/I43</f>
        <v>#DIV/0!</v>
      </c>
      <c r="K56" s="15">
        <f>K43-K44</f>
        <v>-81.555331999999908</v>
      </c>
      <c r="L56" s="96">
        <f>K56/K43</f>
        <v>-1.1650761714285701E-2</v>
      </c>
      <c r="N56" s="78"/>
    </row>
    <row r="57" spans="1:29">
      <c r="A57" s="97"/>
      <c r="B57" s="98"/>
      <c r="C57" s="98"/>
      <c r="D57" s="98"/>
      <c r="E57" s="98"/>
      <c r="F57" s="98"/>
      <c r="G57" s="98"/>
      <c r="H57" s="98"/>
      <c r="I57" s="98"/>
      <c r="J57" s="98"/>
      <c r="L57" s="99"/>
      <c r="N57" s="109" t="s">
        <v>37</v>
      </c>
      <c r="O57" s="631" t="s">
        <v>84</v>
      </c>
      <c r="P57" s="632"/>
      <c r="Q57" s="632"/>
      <c r="R57" s="632"/>
      <c r="S57" s="632"/>
      <c r="T57" s="632"/>
      <c r="U57" s="632"/>
      <c r="V57" s="632"/>
      <c r="W57" s="632"/>
      <c r="X57" s="632"/>
      <c r="Y57" s="633"/>
      <c r="Z57" s="26"/>
      <c r="AB57" s="620" t="s">
        <v>85</v>
      </c>
      <c r="AC57" s="620"/>
    </row>
    <row r="58" spans="1:29">
      <c r="A58" s="100" t="s">
        <v>86</v>
      </c>
      <c r="B58" s="4" t="s">
        <v>87</v>
      </c>
      <c r="C58" s="101"/>
      <c r="D58" s="101"/>
      <c r="E58" s="101"/>
      <c r="F58" s="101"/>
      <c r="G58" s="101"/>
      <c r="H58" s="101"/>
      <c r="I58" s="101"/>
      <c r="J58" s="101"/>
      <c r="L58" s="99"/>
      <c r="N58" s="112" t="s">
        <v>42</v>
      </c>
      <c r="O58" s="28" t="s">
        <v>43</v>
      </c>
      <c r="P58" s="28" t="s">
        <v>44</v>
      </c>
      <c r="Q58" s="28" t="s">
        <v>45</v>
      </c>
      <c r="R58" s="29" t="s">
        <v>46</v>
      </c>
      <c r="S58" s="29" t="s">
        <v>47</v>
      </c>
      <c r="T58" s="160" t="str">
        <f>T43</f>
        <v>13/06-21/06</v>
      </c>
      <c r="U58" s="28"/>
      <c r="V58" s="28"/>
      <c r="W58" s="28"/>
      <c r="X58" s="28"/>
      <c r="Y58" s="28"/>
      <c r="Z58" s="618" t="s">
        <v>49</v>
      </c>
      <c r="AB58" s="65" t="s">
        <v>50</v>
      </c>
      <c r="AC58" s="47"/>
    </row>
    <row r="59" spans="1:29">
      <c r="A59" s="102" t="s">
        <v>88</v>
      </c>
      <c r="B59" s="3">
        <f>L45/K44*100</f>
        <v>36.223257176408097</v>
      </c>
      <c r="C59" s="103"/>
      <c r="D59" s="103"/>
      <c r="E59" s="103"/>
      <c r="F59" s="103"/>
      <c r="G59" s="103"/>
      <c r="H59" s="103"/>
      <c r="I59" s="103"/>
      <c r="J59" s="103"/>
      <c r="L59" s="99"/>
      <c r="N59" s="112"/>
      <c r="O59" s="66">
        <v>1</v>
      </c>
      <c r="P59" s="66">
        <v>2</v>
      </c>
      <c r="Q59" s="66">
        <v>3</v>
      </c>
      <c r="R59" s="66">
        <v>4</v>
      </c>
      <c r="S59" s="66">
        <v>5</v>
      </c>
      <c r="T59" s="66">
        <v>6</v>
      </c>
      <c r="U59" s="66"/>
      <c r="V59" s="66"/>
      <c r="W59" s="66"/>
      <c r="X59" s="66"/>
      <c r="Y59" s="66"/>
      <c r="Z59" s="619"/>
      <c r="AB59" s="67" t="s">
        <v>53</v>
      </c>
      <c r="AC59" s="73">
        <f>K45+K46</f>
        <v>766.79</v>
      </c>
    </row>
    <row r="60" spans="1:29">
      <c r="A60" s="104" t="s">
        <v>89</v>
      </c>
      <c r="B60" s="3">
        <f>L48/K44*100</f>
        <v>59.153041042707486</v>
      </c>
      <c r="C60" s="103"/>
      <c r="D60" s="103"/>
      <c r="E60" s="103"/>
      <c r="F60" s="103"/>
      <c r="G60" s="103"/>
      <c r="H60" s="103"/>
      <c r="I60" s="103"/>
      <c r="J60" s="103"/>
      <c r="L60" s="99"/>
      <c r="N60" s="118"/>
      <c r="O60" s="69">
        <f>Z60/5</f>
        <v>0</v>
      </c>
      <c r="P60" s="69">
        <f>O60</f>
        <v>0</v>
      </c>
      <c r="Q60" s="69">
        <f>O60</f>
        <v>0</v>
      </c>
      <c r="R60" s="69">
        <f>Q60</f>
        <v>0</v>
      </c>
      <c r="S60" s="69">
        <f>R60</f>
        <v>0</v>
      </c>
      <c r="T60" s="69"/>
      <c r="U60" s="69"/>
      <c r="V60" s="69"/>
      <c r="W60" s="69"/>
      <c r="X60" s="69"/>
      <c r="Y60" s="69"/>
      <c r="Z60" s="70">
        <f>AC58</f>
        <v>0</v>
      </c>
      <c r="AB60" s="620" t="s">
        <v>90</v>
      </c>
      <c r="AC60" s="620"/>
    </row>
    <row r="61" spans="1:29">
      <c r="A61" s="105" t="s">
        <v>91</v>
      </c>
      <c r="B61" s="2">
        <f>L53/K44*100</f>
        <v>4.6237017808844261</v>
      </c>
      <c r="C61" s="103"/>
      <c r="D61" s="103"/>
      <c r="E61" s="103"/>
      <c r="F61" s="103"/>
      <c r="G61" s="103"/>
      <c r="H61" s="103"/>
      <c r="I61" s="103"/>
      <c r="J61" s="103"/>
      <c r="L61" s="99"/>
      <c r="N61" s="118"/>
      <c r="O61" s="71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1">
        <f t="shared" ref="Z61" si="4">O61+P61+Q61+R61+S61+T61+Y61+U61+V61+W61+X61</f>
        <v>0</v>
      </c>
      <c r="AB61" s="65" t="s">
        <v>50</v>
      </c>
      <c r="AC61" s="47">
        <v>0</v>
      </c>
    </row>
    <row r="62" spans="1:29">
      <c r="A62" s="78"/>
      <c r="L62" s="99"/>
      <c r="N62" s="78"/>
      <c r="AB62" s="67" t="s">
        <v>53</v>
      </c>
      <c r="AC62" s="73">
        <v>0</v>
      </c>
    </row>
    <row r="63" spans="1:29">
      <c r="A63" s="78"/>
      <c r="L63" s="99"/>
      <c r="N63" s="78"/>
      <c r="Z63" s="120"/>
    </row>
    <row r="64" spans="1:29" ht="30.75">
      <c r="A64" s="78"/>
      <c r="L64" s="99"/>
      <c r="N64" s="78"/>
      <c r="AB64" s="10" t="s">
        <v>92</v>
      </c>
      <c r="AC64" s="136"/>
    </row>
    <row r="65" spans="1:29" ht="30.75">
      <c r="A65" s="78"/>
      <c r="L65" s="99"/>
      <c r="N65" s="78"/>
      <c r="AB65" s="10" t="s">
        <v>93</v>
      </c>
      <c r="AC65" s="136"/>
    </row>
    <row r="66" spans="1:29">
      <c r="A66" s="78"/>
      <c r="L66" s="99"/>
      <c r="N66" s="78"/>
    </row>
    <row r="67" spans="1:29">
      <c r="A67" s="78"/>
      <c r="L67" s="99"/>
      <c r="N67" s="78"/>
    </row>
    <row r="68" spans="1:29">
      <c r="A68" s="78"/>
      <c r="L68" s="99"/>
      <c r="N68" s="78"/>
    </row>
    <row r="69" spans="1:29">
      <c r="A69" s="78"/>
      <c r="L69" s="99"/>
      <c r="N69" s="78"/>
      <c r="AB69" s="621" t="s">
        <v>94</v>
      </c>
      <c r="AC69" s="622"/>
    </row>
    <row r="70" spans="1:29">
      <c r="A70" s="78"/>
      <c r="L70" s="99"/>
      <c r="N70" s="78"/>
      <c r="AB70" s="623">
        <v>45412</v>
      </c>
      <c r="AC70" s="624"/>
    </row>
    <row r="71" spans="1:29">
      <c r="A71" s="106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8"/>
      <c r="N71" s="106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625"/>
      <c r="AC71" s="626"/>
    </row>
    <row r="76" spans="1:29">
      <c r="A76" s="181" t="s">
        <v>101</v>
      </c>
      <c r="B76" s="199">
        <f>SUM(B77:B85)</f>
        <v>3653.9600000000005</v>
      </c>
      <c r="E76" t="s">
        <v>102</v>
      </c>
      <c r="F76" s="1">
        <f>SUM(F77:F85)</f>
        <v>5052.4048959999991</v>
      </c>
      <c r="H76" t="s">
        <v>103</v>
      </c>
      <c r="I76" s="1">
        <f>SUM(I77:I84)</f>
        <v>8783.4362935999998</v>
      </c>
      <c r="K76" t="s">
        <v>104</v>
      </c>
      <c r="L76" s="1">
        <f>SUM(L77:L83)</f>
        <v>5570.1659683999997</v>
      </c>
      <c r="M76" s="1"/>
    </row>
    <row r="77" spans="1:29">
      <c r="A77" t="s">
        <v>105</v>
      </c>
      <c r="B77" s="1">
        <f>1630*0.68</f>
        <v>1108.4000000000001</v>
      </c>
      <c r="E77" t="s">
        <v>106</v>
      </c>
      <c r="F77">
        <f>272.64+113.2+3761.33</f>
        <v>4147.17</v>
      </c>
      <c r="H77" t="s">
        <v>106</v>
      </c>
      <c r="I77" s="88">
        <f>6661.97+52.9+19.76+142.49-91.72+172.2</f>
        <v>6957.5999999999995</v>
      </c>
      <c r="K77" t="s">
        <v>106</v>
      </c>
      <c r="L77">
        <f>4791.82+63.62+41.32-86.74-154.52+8.18+16.53+172.6+142.47</f>
        <v>4995.28</v>
      </c>
    </row>
    <row r="78" spans="1:29">
      <c r="A78" t="s">
        <v>107</v>
      </c>
      <c r="B78">
        <f>100+161.19</f>
        <v>261.19</v>
      </c>
      <c r="E78" t="s">
        <v>108</v>
      </c>
      <c r="F78" s="1">
        <v>359</v>
      </c>
    </row>
    <row r="79" spans="1:29">
      <c r="A79" t="s">
        <v>109</v>
      </c>
      <c r="B79">
        <v>918.84</v>
      </c>
    </row>
    <row r="80" spans="1:29">
      <c r="A80" t="s">
        <v>109</v>
      </c>
      <c r="B80">
        <v>326.61</v>
      </c>
      <c r="E80" s="255" t="s">
        <v>110</v>
      </c>
      <c r="F80" s="537">
        <f>19.2*10*1.42*1.2359</f>
        <v>336.95577599999996</v>
      </c>
      <c r="H80" s="255" t="s">
        <v>111</v>
      </c>
      <c r="I80" s="537">
        <f>(5.35+6.7+1.5+6.7+4.35+3.75+5.63+3.63+2.51+4)*10*1.42*1.2359</f>
        <v>774.29629360000001</v>
      </c>
      <c r="K80" s="255" t="s">
        <v>112</v>
      </c>
      <c r="L80" s="537">
        <f>13.78*10*1.42*1.2359</f>
        <v>241.83596839999996</v>
      </c>
    </row>
    <row r="81" spans="1:12">
      <c r="A81" t="s">
        <v>113</v>
      </c>
      <c r="B81">
        <v>370.25</v>
      </c>
      <c r="E81" s="255" t="s">
        <v>114</v>
      </c>
      <c r="F81" s="255">
        <v>56.94</v>
      </c>
      <c r="K81" t="s">
        <v>107</v>
      </c>
      <c r="L81">
        <v>290</v>
      </c>
    </row>
    <row r="82" spans="1:12">
      <c r="A82" t="s">
        <v>115</v>
      </c>
      <c r="B82">
        <v>189.26</v>
      </c>
      <c r="E82" s="255" t="s">
        <v>116</v>
      </c>
      <c r="F82" s="537">
        <f>78.26+40*1.42*1.2359</f>
        <v>148.45911999999998</v>
      </c>
      <c r="H82" s="255" t="s">
        <v>117</v>
      </c>
      <c r="I82" s="255">
        <v>347.11</v>
      </c>
      <c r="K82" s="255" t="s">
        <v>117</v>
      </c>
      <c r="L82" s="255">
        <v>43.05</v>
      </c>
    </row>
    <row r="83" spans="1:12">
      <c r="A83" t="s">
        <v>118</v>
      </c>
      <c r="B83">
        <v>390.02</v>
      </c>
      <c r="E83" s="255" t="s">
        <v>119</v>
      </c>
      <c r="F83" s="255">
        <v>3.88</v>
      </c>
      <c r="H83" s="255" t="s">
        <v>120</v>
      </c>
      <c r="I83" s="255">
        <v>704.43</v>
      </c>
    </row>
    <row r="84" spans="1:12">
      <c r="A84" t="s">
        <v>121</v>
      </c>
      <c r="B84">
        <v>79.34</v>
      </c>
    </row>
    <row r="85" spans="1:12">
      <c r="A85" t="s">
        <v>122</v>
      </c>
      <c r="B85">
        <v>10.050000000000001</v>
      </c>
    </row>
    <row r="87" spans="1:12">
      <c r="A87" s="181" t="s">
        <v>123</v>
      </c>
      <c r="B87" s="181">
        <f>SUM(B88:B93)</f>
        <v>5096.2300000000005</v>
      </c>
    </row>
    <row r="88" spans="1:12">
      <c r="A88" s="255" t="s">
        <v>107</v>
      </c>
      <c r="B88" s="255">
        <f>100+35.81</f>
        <v>135.81</v>
      </c>
    </row>
    <row r="89" spans="1:12">
      <c r="A89" s="255" t="s">
        <v>124</v>
      </c>
      <c r="B89" s="255">
        <v>3866.32</v>
      </c>
    </row>
    <row r="90" spans="1:12">
      <c r="A90" s="255" t="s">
        <v>105</v>
      </c>
      <c r="B90" s="255">
        <f>1630*0.32</f>
        <v>521.6</v>
      </c>
    </row>
    <row r="91" spans="1:12">
      <c r="A91" t="s">
        <v>125</v>
      </c>
      <c r="B91">
        <v>191.91</v>
      </c>
    </row>
    <row r="92" spans="1:12">
      <c r="A92" t="s">
        <v>126</v>
      </c>
      <c r="B92">
        <v>283.47000000000003</v>
      </c>
    </row>
    <row r="93" spans="1:12">
      <c r="A93" s="255" t="s">
        <v>127</v>
      </c>
      <c r="B93" s="255">
        <v>97.12</v>
      </c>
    </row>
    <row r="95" spans="1:12">
      <c r="B95">
        <f>B93+B90+B89+B88</f>
        <v>4620.8500000000004</v>
      </c>
    </row>
    <row r="97" spans="1:29">
      <c r="A97" s="255" t="s">
        <v>128</v>
      </c>
      <c r="B97" s="255">
        <v>369</v>
      </c>
    </row>
    <row r="98" spans="1:29">
      <c r="A98" s="197"/>
    </row>
    <row r="105" spans="1:29" ht="26.25">
      <c r="A105" s="187" t="s">
        <v>28</v>
      </c>
      <c r="B105" s="233" t="s">
        <v>29</v>
      </c>
      <c r="C105" s="634"/>
      <c r="D105" s="634"/>
      <c r="E105" s="634"/>
      <c r="F105" s="634"/>
      <c r="G105" s="634"/>
      <c r="H105" s="634"/>
      <c r="I105" s="634"/>
      <c r="J105" s="634"/>
      <c r="K105" s="634"/>
      <c r="L105" s="634"/>
      <c r="M105" s="634"/>
      <c r="N105" s="634"/>
      <c r="O105" s="634"/>
      <c r="P105" s="634"/>
      <c r="Q105" s="634"/>
      <c r="R105" s="634"/>
      <c r="S105" s="634"/>
      <c r="T105" s="634"/>
      <c r="U105" s="634"/>
      <c r="V105" s="634"/>
      <c r="W105" s="634"/>
      <c r="X105" s="634"/>
      <c r="Y105" s="634"/>
      <c r="Z105" s="634"/>
      <c r="AA105" s="634"/>
      <c r="AB105" s="634"/>
      <c r="AC105" s="634"/>
    </row>
    <row r="106" spans="1:29" ht="18.75">
      <c r="A106" s="635" t="s">
        <v>30</v>
      </c>
      <c r="B106" s="636"/>
      <c r="C106" s="636"/>
      <c r="D106" s="636"/>
      <c r="E106" s="636"/>
      <c r="F106" s="636"/>
      <c r="G106" s="636"/>
      <c r="H106" s="636"/>
      <c r="I106" s="636"/>
      <c r="J106" s="636"/>
      <c r="K106" s="636"/>
      <c r="L106" s="637"/>
      <c r="M106" s="7"/>
      <c r="N106" s="638" t="s">
        <v>31</v>
      </c>
      <c r="O106" s="639"/>
      <c r="P106" s="639"/>
      <c r="Q106" s="639"/>
      <c r="R106" s="639"/>
      <c r="S106" s="639"/>
      <c r="T106" s="639"/>
      <c r="U106" s="639"/>
      <c r="V106" s="639"/>
      <c r="W106" s="639"/>
      <c r="X106" s="639"/>
      <c r="Y106" s="639"/>
      <c r="Z106" s="639"/>
      <c r="AA106" s="639"/>
      <c r="AB106" s="639"/>
      <c r="AC106" s="639"/>
    </row>
    <row r="107" spans="1:29" ht="30" customHeight="1">
      <c r="A107" s="78"/>
      <c r="C107" s="640" t="s">
        <v>129</v>
      </c>
      <c r="D107" s="641"/>
      <c r="E107" s="640" t="s">
        <v>130</v>
      </c>
      <c r="F107" s="641"/>
      <c r="G107" s="640" t="s">
        <v>131</v>
      </c>
      <c r="H107" s="641"/>
      <c r="I107" s="640"/>
      <c r="J107" s="641"/>
      <c r="K107" s="642" t="s">
        <v>36</v>
      </c>
      <c r="L107" s="643"/>
      <c r="N107" s="109" t="s">
        <v>37</v>
      </c>
      <c r="O107" s="644" t="s">
        <v>38</v>
      </c>
      <c r="P107" s="645"/>
      <c r="Q107" s="645"/>
      <c r="R107" s="645"/>
      <c r="S107" s="645"/>
      <c r="T107" s="645"/>
      <c r="U107" s="645"/>
      <c r="V107" s="645"/>
      <c r="W107" s="645"/>
      <c r="X107" s="645"/>
      <c r="Y107" s="646"/>
      <c r="Z107" s="25"/>
      <c r="AA107" s="110"/>
      <c r="AB107" s="647" t="s">
        <v>39</v>
      </c>
      <c r="AC107" s="648"/>
    </row>
    <row r="108" spans="1:29" ht="14.25" customHeight="1">
      <c r="A108" s="79" t="s">
        <v>40</v>
      </c>
      <c r="B108" s="5" t="s">
        <v>41</v>
      </c>
      <c r="C108" s="77"/>
      <c r="E108" s="77"/>
      <c r="G108" s="77"/>
      <c r="I108" s="77"/>
      <c r="K108" s="142">
        <f>AC114</f>
        <v>4463.9646622296004</v>
      </c>
      <c r="L108" s="80"/>
      <c r="N108" s="112" t="s">
        <v>42</v>
      </c>
      <c r="O108" s="28" t="s">
        <v>43</v>
      </c>
      <c r="P108" s="28" t="s">
        <v>44</v>
      </c>
      <c r="Q108" s="28" t="s">
        <v>45</v>
      </c>
      <c r="R108" s="29" t="s">
        <v>46</v>
      </c>
      <c r="S108" s="29" t="s">
        <v>47</v>
      </c>
      <c r="T108" s="160" t="s">
        <v>48</v>
      </c>
      <c r="U108" s="29"/>
      <c r="V108" s="29"/>
      <c r="W108" s="29"/>
      <c r="X108" s="29"/>
      <c r="Y108" s="29"/>
      <c r="Z108" s="627" t="s">
        <v>49</v>
      </c>
      <c r="AA108" s="110"/>
      <c r="AB108" s="30" t="s">
        <v>50</v>
      </c>
      <c r="AC108" s="31"/>
    </row>
    <row r="109" spans="1:29">
      <c r="A109" s="79" t="s">
        <v>51</v>
      </c>
      <c r="B109" s="5" t="s">
        <v>52</v>
      </c>
      <c r="C109" s="161">
        <f>C110+C111+C112+C113+C114+C115+C117+C118+C120+C119+C116</f>
        <v>2530.1823955760005</v>
      </c>
      <c r="D109" s="5"/>
      <c r="E109" s="161">
        <f>E110+E111+E112+E113+E114+E115+E117+E118+E120+E119+E116</f>
        <v>1452.1522477599999</v>
      </c>
      <c r="F109" s="5"/>
      <c r="G109" s="161">
        <f>G110+G111+G112+G113+G114+G115+G117+G118+G120+G119+G116</f>
        <v>75.815049599999995</v>
      </c>
      <c r="H109" s="5"/>
      <c r="I109" s="161">
        <f>I110+I111+I112+I113+I114+I115+I117+I118+I120+I119+I116</f>
        <v>0</v>
      </c>
      <c r="J109" s="5"/>
      <c r="K109" s="472">
        <f>K110+K111+K112+K113+K114+K115+K117+K118+K120+K119+K116</f>
        <v>4058.1496929360001</v>
      </c>
      <c r="L109" s="81"/>
      <c r="N109" s="113"/>
      <c r="O109" s="74">
        <v>1</v>
      </c>
      <c r="P109" s="74">
        <v>2</v>
      </c>
      <c r="Q109" s="74">
        <v>3</v>
      </c>
      <c r="R109" s="74">
        <v>4</v>
      </c>
      <c r="S109" s="74">
        <v>5</v>
      </c>
      <c r="T109" s="74">
        <v>6</v>
      </c>
      <c r="U109" s="74"/>
      <c r="V109" s="74"/>
      <c r="W109" s="74"/>
      <c r="X109" s="74"/>
      <c r="Y109" s="33"/>
      <c r="Z109" s="628"/>
      <c r="AB109" s="34" t="s">
        <v>53</v>
      </c>
      <c r="AC109" s="35"/>
    </row>
    <row r="110" spans="1:29">
      <c r="A110" s="82" t="s">
        <v>54</v>
      </c>
      <c r="B110" s="75" t="s">
        <v>55</v>
      </c>
      <c r="C110" s="552">
        <f>C141+314.68+86.59+87.18</f>
        <v>488.45</v>
      </c>
      <c r="D110" s="13">
        <f>C110+C111+C112</f>
        <v>488.45</v>
      </c>
      <c r="E110" s="147">
        <f>859.51+405</f>
        <v>1264.51</v>
      </c>
      <c r="F110" s="13">
        <f>E110+E111+E112</f>
        <v>1264.51</v>
      </c>
      <c r="G110" s="147"/>
      <c r="H110" s="83">
        <f>G110+G111+G112</f>
        <v>0</v>
      </c>
      <c r="I110" s="127"/>
      <c r="J110" s="83">
        <f>I110+I111+I112</f>
        <v>0</v>
      </c>
      <c r="K110" s="21">
        <f t="shared" ref="K110:K112" si="5">C110+E110+G110+I110</f>
        <v>1752.96</v>
      </c>
      <c r="L110" s="84">
        <f>K110+K111+K112</f>
        <v>1752.96</v>
      </c>
      <c r="N110" s="114"/>
      <c r="O110" s="36">
        <v>0.2</v>
      </c>
      <c r="P110" s="37">
        <v>0.4</v>
      </c>
      <c r="Q110" s="37">
        <v>0.6</v>
      </c>
      <c r="R110" s="37">
        <v>0.8</v>
      </c>
      <c r="S110" s="37">
        <v>1</v>
      </c>
      <c r="T110" s="37"/>
      <c r="U110" s="37"/>
      <c r="V110" s="37"/>
      <c r="W110" s="37"/>
      <c r="X110" s="37"/>
      <c r="Y110" s="38"/>
      <c r="Z110" s="37">
        <f>S110</f>
        <v>1</v>
      </c>
      <c r="AB110" s="629"/>
      <c r="AC110" s="630"/>
    </row>
    <row r="111" spans="1:29">
      <c r="A111" s="85" t="s">
        <v>56</v>
      </c>
      <c r="B111" s="86" t="s">
        <v>57</v>
      </c>
      <c r="C111" s="127"/>
      <c r="D111" s="13"/>
      <c r="E111" s="145"/>
      <c r="F111" s="13"/>
      <c r="G111" s="145"/>
      <c r="H111" s="83"/>
      <c r="I111" s="126"/>
      <c r="J111" s="83"/>
      <c r="K111" s="21">
        <f t="shared" si="5"/>
        <v>0</v>
      </c>
      <c r="L111" s="84"/>
      <c r="N111" s="116"/>
      <c r="O111" s="42">
        <v>0.2</v>
      </c>
      <c r="P111" s="43">
        <v>0.4</v>
      </c>
      <c r="Q111" s="43">
        <v>0.6</v>
      </c>
      <c r="R111" s="43">
        <v>0.8</v>
      </c>
      <c r="S111" s="43">
        <v>1</v>
      </c>
      <c r="T111" s="43"/>
      <c r="U111" s="43"/>
      <c r="V111" s="43"/>
      <c r="W111" s="43"/>
      <c r="X111" s="43"/>
      <c r="Y111" s="44"/>
      <c r="Z111" s="45">
        <f>S111</f>
        <v>1</v>
      </c>
      <c r="AB111" s="46" t="s">
        <v>50</v>
      </c>
      <c r="AC111" s="47"/>
    </row>
    <row r="112" spans="1:29">
      <c r="A112" s="87" t="s">
        <v>58</v>
      </c>
      <c r="B112" s="76" t="s">
        <v>59</v>
      </c>
      <c r="C112" s="162"/>
      <c r="D112" s="14"/>
      <c r="E112" s="14"/>
      <c r="F112" s="14"/>
      <c r="G112" s="14"/>
      <c r="H112" s="88"/>
      <c r="I112" s="18"/>
      <c r="J112" s="88"/>
      <c r="K112" s="21">
        <f t="shared" si="5"/>
        <v>0</v>
      </c>
      <c r="L112" s="89"/>
      <c r="N112" s="117"/>
      <c r="O112" s="52"/>
      <c r="P112" s="52"/>
      <c r="Q112" s="52"/>
      <c r="R112" s="53"/>
      <c r="S112" s="54"/>
      <c r="T112" s="53">
        <f>AC115/AC114</f>
        <v>0</v>
      </c>
      <c r="U112" s="55"/>
      <c r="V112" s="55"/>
      <c r="W112" s="55"/>
      <c r="X112" s="55"/>
      <c r="Y112" s="55"/>
      <c r="Z112" s="53">
        <f>T112</f>
        <v>0</v>
      </c>
      <c r="AB112" s="56" t="s">
        <v>53</v>
      </c>
      <c r="AC112" s="73"/>
    </row>
    <row r="113" spans="1:29">
      <c r="A113" s="82" t="s">
        <v>60</v>
      </c>
      <c r="B113" s="75" t="s">
        <v>61</v>
      </c>
      <c r="C113" s="257">
        <f>(14.82+21.75+36.1+32.82)*10*1.42</f>
        <v>1497.9580000000001</v>
      </c>
      <c r="D113" s="141">
        <f>C113+C114+C115+C117+C116</f>
        <v>1999.4323955760001</v>
      </c>
      <c r="E113" s="249">
        <f>(2.5+0.7+2.08+3.12+1.5)*10*1.42</f>
        <v>140.57999999999998</v>
      </c>
      <c r="F113" s="128">
        <f>E113+E114+E115+E117+E116</f>
        <v>187.64224775999998</v>
      </c>
      <c r="G113" s="602">
        <f>(4)*10*1.42</f>
        <v>56.8</v>
      </c>
      <c r="H113" s="128">
        <f>G113+G114+G115+G117+G116</f>
        <v>75.815049599999995</v>
      </c>
      <c r="I113" s="258"/>
      <c r="J113" s="128">
        <f>I113+I114+I115+I117+I116</f>
        <v>0</v>
      </c>
      <c r="K113" s="21">
        <f>C113+E113+G113+I113</f>
        <v>1695.338</v>
      </c>
      <c r="L113" s="90">
        <f>K113+K114+K115+K117+K116</f>
        <v>2262.8896929359998</v>
      </c>
      <c r="N113" s="78"/>
    </row>
    <row r="114" spans="1:29">
      <c r="A114" s="85" t="s">
        <v>62</v>
      </c>
      <c r="B114" s="86" t="s">
        <v>63</v>
      </c>
      <c r="C114" s="126">
        <f>C113*0.2359</f>
        <v>353.36829220000004</v>
      </c>
      <c r="D114" s="13"/>
      <c r="E114" s="145">
        <f>E113*0.2359</f>
        <v>33.162821999999998</v>
      </c>
      <c r="F114" s="83"/>
      <c r="G114" s="259">
        <f>G113*0.2359</f>
        <v>13.39912</v>
      </c>
      <c r="H114" s="83"/>
      <c r="I114" s="259">
        <f>I113*0.2359</f>
        <v>0</v>
      </c>
      <c r="J114" s="83"/>
      <c r="K114" s="21">
        <f t="shared" ref="K114:K120" si="6">C114+E114+G114+I114</f>
        <v>399.93023420000003</v>
      </c>
      <c r="L114" s="89"/>
      <c r="N114" s="78"/>
      <c r="AB114" s="10" t="s">
        <v>64</v>
      </c>
      <c r="AC114" s="137">
        <f>K109*1.1</f>
        <v>4463.9646622296004</v>
      </c>
    </row>
    <row r="115" spans="1:29">
      <c r="A115" s="85" t="s">
        <v>65</v>
      </c>
      <c r="B115" s="86" t="s">
        <v>66</v>
      </c>
      <c r="C115" s="126">
        <f>(C113+C114)*0.08</f>
        <v>148.10610337600002</v>
      </c>
      <c r="D115" s="13"/>
      <c r="E115" s="145">
        <f>(E113+E114)*0.08</f>
        <v>13.89942576</v>
      </c>
      <c r="F115" s="83"/>
      <c r="G115" s="259">
        <f>(G113+G114)*0.08</f>
        <v>5.6159295999999994</v>
      </c>
      <c r="H115" s="83"/>
      <c r="I115" s="259">
        <f>(I113+I114)*0.08</f>
        <v>0</v>
      </c>
      <c r="J115" s="83"/>
      <c r="K115" s="21">
        <f t="shared" si="6"/>
        <v>167.62145873599999</v>
      </c>
      <c r="L115" s="89"/>
      <c r="N115" s="78"/>
      <c r="AB115" s="58" t="s">
        <v>67</v>
      </c>
      <c r="AC115" s="59"/>
    </row>
    <row r="116" spans="1:29">
      <c r="A116" s="91" t="s">
        <v>68</v>
      </c>
      <c r="B116" s="92" t="s">
        <v>21</v>
      </c>
      <c r="C116" s="127"/>
      <c r="D116" s="127"/>
      <c r="E116" s="127"/>
      <c r="F116" s="123"/>
      <c r="G116" s="127"/>
      <c r="H116" s="123"/>
      <c r="I116" s="127"/>
      <c r="J116" s="123"/>
      <c r="K116" s="21"/>
      <c r="L116" s="89"/>
      <c r="N116" s="78"/>
    </row>
    <row r="117" spans="1:29">
      <c r="A117" s="85" t="s">
        <v>69</v>
      </c>
      <c r="B117" s="86" t="s">
        <v>70</v>
      </c>
      <c r="C117" s="130"/>
      <c r="D117" s="134"/>
      <c r="E117" s="134"/>
      <c r="F117" s="125"/>
      <c r="G117" s="124"/>
      <c r="H117" s="125"/>
      <c r="I117" s="124"/>
      <c r="J117" s="125"/>
      <c r="K117" s="21">
        <f t="shared" ref="K117:K123" si="7">C117+E117+G117+I117</f>
        <v>0</v>
      </c>
      <c r="L117" s="93"/>
      <c r="N117" s="78"/>
      <c r="AB117" s="60" t="s">
        <v>71</v>
      </c>
      <c r="AC117" s="61"/>
    </row>
    <row r="118" spans="1:29" ht="15.75" customHeight="1">
      <c r="A118" s="94" t="s">
        <v>72</v>
      </c>
      <c r="B118" s="75" t="s">
        <v>73</v>
      </c>
      <c r="C118" s="17"/>
      <c r="D118" s="145">
        <f>C118+C120+C119</f>
        <v>42.300000000000004</v>
      </c>
      <c r="E118" s="13"/>
      <c r="F118" s="145">
        <f>E118+E120+E119</f>
        <v>0</v>
      </c>
      <c r="G118" s="13"/>
      <c r="H118" s="145">
        <f>G118+G120+G119</f>
        <v>0</v>
      </c>
      <c r="I118" s="13"/>
      <c r="J118" s="145">
        <f>I118+I120+I119</f>
        <v>0</v>
      </c>
      <c r="K118" s="21">
        <f t="shared" si="7"/>
        <v>0</v>
      </c>
      <c r="L118" s="89">
        <f>K118+K120+K119</f>
        <v>42.300000000000004</v>
      </c>
      <c r="N118" s="78"/>
      <c r="AB118" s="62" t="s">
        <v>74</v>
      </c>
      <c r="AC118" s="62" t="s">
        <v>75</v>
      </c>
    </row>
    <row r="119" spans="1:29">
      <c r="A119" s="95" t="s">
        <v>76</v>
      </c>
      <c r="B119" s="86" t="s">
        <v>77</v>
      </c>
      <c r="C119" s="17"/>
      <c r="D119" s="13"/>
      <c r="E119" s="13"/>
      <c r="F119" s="13"/>
      <c r="G119" s="13"/>
      <c r="H119" s="13"/>
      <c r="I119" s="13"/>
      <c r="J119" s="13"/>
      <c r="K119" s="21">
        <f t="shared" si="7"/>
        <v>0</v>
      </c>
      <c r="L119" s="89"/>
      <c r="N119" s="78"/>
      <c r="AB119" s="63" t="s">
        <v>78</v>
      </c>
      <c r="AC119" s="64">
        <v>13</v>
      </c>
    </row>
    <row r="120" spans="1:29">
      <c r="A120" s="85" t="s">
        <v>79</v>
      </c>
      <c r="B120" s="86" t="s">
        <v>80</v>
      </c>
      <c r="C120" s="126">
        <f>4.6+10+4.5+2.6+7.6+2.5+3.5+7</f>
        <v>42.300000000000004</v>
      </c>
      <c r="D120" s="13"/>
      <c r="E120" s="145"/>
      <c r="F120" s="13"/>
      <c r="G120" s="145"/>
      <c r="H120" s="13"/>
      <c r="I120" s="145"/>
      <c r="J120" s="13"/>
      <c r="K120" s="21">
        <f t="shared" si="7"/>
        <v>42.300000000000004</v>
      </c>
      <c r="L120" s="89"/>
      <c r="N120" s="78"/>
      <c r="AB120" s="63" t="s">
        <v>81</v>
      </c>
      <c r="AC120" s="64">
        <v>12</v>
      </c>
    </row>
    <row r="121" spans="1:29">
      <c r="A121" s="79" t="s">
        <v>82</v>
      </c>
      <c r="B121" s="5" t="s">
        <v>83</v>
      </c>
      <c r="C121" s="157">
        <f>C108-C109</f>
        <v>-2530.1823955760005</v>
      </c>
      <c r="D121" s="121" t="e">
        <f>C121/C108</f>
        <v>#DIV/0!</v>
      </c>
      <c r="E121" s="157">
        <f>E108-E109</f>
        <v>-1452.1522477599999</v>
      </c>
      <c r="F121" s="122" t="e">
        <f>E121/E108</f>
        <v>#DIV/0!</v>
      </c>
      <c r="G121" s="157">
        <f>G108-G109</f>
        <v>-75.815049599999995</v>
      </c>
      <c r="H121" s="122" t="e">
        <f>G121/G108</f>
        <v>#DIV/0!</v>
      </c>
      <c r="I121" s="157">
        <f>I108-I109</f>
        <v>0</v>
      </c>
      <c r="J121" s="122" t="e">
        <f>I121/I108</f>
        <v>#DIV/0!</v>
      </c>
      <c r="K121" s="15">
        <f>K108-K109</f>
        <v>405.81496929360037</v>
      </c>
      <c r="L121" s="96">
        <f>K121/K108</f>
        <v>9.0909090909090981E-2</v>
      </c>
      <c r="N121" s="78"/>
    </row>
    <row r="122" spans="1:29" ht="30" customHeight="1">
      <c r="A122" s="97"/>
      <c r="B122" s="98"/>
      <c r="C122" s="98"/>
      <c r="D122" s="98"/>
      <c r="E122" s="98"/>
      <c r="F122" s="98"/>
      <c r="G122" s="98"/>
      <c r="H122" s="98"/>
      <c r="I122" s="98"/>
      <c r="J122" s="98"/>
      <c r="L122" s="99"/>
      <c r="N122" s="109" t="s">
        <v>37</v>
      </c>
      <c r="O122" s="631" t="s">
        <v>84</v>
      </c>
      <c r="P122" s="632"/>
      <c r="Q122" s="632"/>
      <c r="R122" s="632"/>
      <c r="S122" s="632"/>
      <c r="T122" s="632"/>
      <c r="U122" s="632"/>
      <c r="V122" s="632"/>
      <c r="W122" s="632"/>
      <c r="X122" s="632"/>
      <c r="Y122" s="633"/>
      <c r="Z122" s="26"/>
      <c r="AB122" s="620" t="s">
        <v>85</v>
      </c>
      <c r="AC122" s="620"/>
    </row>
    <row r="123" spans="1:29" ht="15.75" customHeight="1">
      <c r="A123" s="100" t="s">
        <v>86</v>
      </c>
      <c r="B123" s="4" t="s">
        <v>87</v>
      </c>
      <c r="C123" s="101"/>
      <c r="D123" s="101"/>
      <c r="E123" s="101"/>
      <c r="F123" s="101"/>
      <c r="G123" s="101"/>
      <c r="H123" s="101"/>
      <c r="I123" s="101"/>
      <c r="J123" s="101"/>
      <c r="L123" s="99"/>
      <c r="N123" s="112" t="s">
        <v>42</v>
      </c>
      <c r="O123" s="28" t="s">
        <v>43</v>
      </c>
      <c r="P123" s="28" t="s">
        <v>44</v>
      </c>
      <c r="Q123" s="28" t="s">
        <v>45</v>
      </c>
      <c r="R123" s="29" t="s">
        <v>46</v>
      </c>
      <c r="S123" s="29" t="s">
        <v>47</v>
      </c>
      <c r="T123" s="160" t="str">
        <f>T108</f>
        <v>13/06-21/06</v>
      </c>
      <c r="U123" s="28"/>
      <c r="V123" s="28"/>
      <c r="W123" s="28"/>
      <c r="X123" s="28"/>
      <c r="Y123" s="28"/>
      <c r="Z123" s="618" t="s">
        <v>49</v>
      </c>
      <c r="AB123" s="65" t="s">
        <v>50</v>
      </c>
      <c r="AC123" s="47"/>
    </row>
    <row r="124" spans="1:29">
      <c r="A124" s="102" t="s">
        <v>88</v>
      </c>
      <c r="B124" s="3">
        <f>L110/K109*100</f>
        <v>43.196040871813288</v>
      </c>
      <c r="C124" s="103"/>
      <c r="D124" s="103"/>
      <c r="E124" s="103"/>
      <c r="F124" s="103"/>
      <c r="G124" s="103"/>
      <c r="H124" s="103"/>
      <c r="I124" s="103"/>
      <c r="J124" s="103"/>
      <c r="L124" s="99"/>
      <c r="N124" s="112"/>
      <c r="O124" s="66">
        <v>1</v>
      </c>
      <c r="P124" s="66">
        <v>2</v>
      </c>
      <c r="Q124" s="66">
        <v>3</v>
      </c>
      <c r="R124" s="66">
        <v>4</v>
      </c>
      <c r="S124" s="66">
        <v>5</v>
      </c>
      <c r="T124" s="66">
        <v>6</v>
      </c>
      <c r="U124" s="66"/>
      <c r="V124" s="66"/>
      <c r="W124" s="66"/>
      <c r="X124" s="66"/>
      <c r="Y124" s="66"/>
      <c r="Z124" s="619"/>
      <c r="AB124" s="67" t="s">
        <v>53</v>
      </c>
      <c r="AC124" s="73">
        <f>K110+K111</f>
        <v>1752.96</v>
      </c>
    </row>
    <row r="125" spans="1:29">
      <c r="A125" s="104" t="s">
        <v>89</v>
      </c>
      <c r="B125" s="3">
        <f>L113/K109*100</f>
        <v>55.761612167116461</v>
      </c>
      <c r="C125" s="103"/>
      <c r="D125" s="103"/>
      <c r="E125" s="103"/>
      <c r="F125" s="103"/>
      <c r="G125" s="103"/>
      <c r="H125" s="103"/>
      <c r="I125" s="103"/>
      <c r="J125" s="103"/>
      <c r="L125" s="99"/>
      <c r="N125" s="118"/>
      <c r="O125" s="69">
        <f>Z125/5</f>
        <v>0</v>
      </c>
      <c r="P125" s="69">
        <f>O125</f>
        <v>0</v>
      </c>
      <c r="Q125" s="69">
        <f>O125</f>
        <v>0</v>
      </c>
      <c r="R125" s="69">
        <f>Q125</f>
        <v>0</v>
      </c>
      <c r="S125" s="69">
        <f>R125</f>
        <v>0</v>
      </c>
      <c r="T125" s="69"/>
      <c r="U125" s="69"/>
      <c r="V125" s="69"/>
      <c r="W125" s="69"/>
      <c r="X125" s="69"/>
      <c r="Y125" s="69"/>
      <c r="Z125" s="70">
        <f>AC123</f>
        <v>0</v>
      </c>
      <c r="AB125" s="620" t="s">
        <v>90</v>
      </c>
      <c r="AC125" s="620"/>
    </row>
    <row r="126" spans="1:29">
      <c r="A126" s="105" t="s">
        <v>91</v>
      </c>
      <c r="B126" s="2">
        <f>L118/K109*100</f>
        <v>1.042346961070248</v>
      </c>
      <c r="C126" s="103"/>
      <c r="D126" s="103"/>
      <c r="E126" s="103"/>
      <c r="F126" s="103"/>
      <c r="G126" s="103"/>
      <c r="H126" s="103"/>
      <c r="I126" s="103"/>
      <c r="J126" s="103"/>
      <c r="L126" s="99"/>
      <c r="N126" s="118"/>
      <c r="O126" s="71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1">
        <f t="shared" ref="Z126" si="8">O126+P126+Q126+R126+S126+T126+Y126+U126+V126+W126+X126</f>
        <v>0</v>
      </c>
      <c r="AB126" s="65" t="s">
        <v>50</v>
      </c>
      <c r="AC126" s="47">
        <v>0</v>
      </c>
    </row>
    <row r="127" spans="1:29">
      <c r="A127" s="78"/>
      <c r="L127" s="99"/>
      <c r="N127" s="78"/>
      <c r="AB127" s="67" t="s">
        <v>53</v>
      </c>
      <c r="AC127" s="73">
        <v>0</v>
      </c>
    </row>
    <row r="128" spans="1:29">
      <c r="A128" s="78"/>
      <c r="L128" s="99"/>
      <c r="N128" s="78"/>
      <c r="Z128" s="120"/>
    </row>
    <row r="129" spans="1:29" ht="30.75">
      <c r="A129" s="78"/>
      <c r="L129" s="99"/>
      <c r="N129" s="78"/>
      <c r="AB129" s="10" t="s">
        <v>92</v>
      </c>
      <c r="AC129" s="136"/>
    </row>
    <row r="130" spans="1:29" ht="30.75">
      <c r="A130" s="78"/>
      <c r="L130" s="99"/>
      <c r="N130" s="78"/>
      <c r="AB130" s="10" t="s">
        <v>93</v>
      </c>
      <c r="AC130" s="136"/>
    </row>
    <row r="131" spans="1:29">
      <c r="A131" s="78"/>
      <c r="L131" s="99"/>
      <c r="N131" s="78"/>
    </row>
    <row r="132" spans="1:29">
      <c r="A132" s="78"/>
      <c r="L132" s="99"/>
      <c r="N132" s="78"/>
    </row>
    <row r="133" spans="1:29">
      <c r="A133" s="78"/>
      <c r="L133" s="99"/>
      <c r="N133" s="78"/>
    </row>
    <row r="134" spans="1:29">
      <c r="A134" s="78"/>
      <c r="L134" s="99"/>
      <c r="N134" s="78"/>
      <c r="AB134" s="621" t="s">
        <v>94</v>
      </c>
      <c r="AC134" s="622"/>
    </row>
    <row r="135" spans="1:29">
      <c r="A135" s="78" t="s">
        <v>132</v>
      </c>
      <c r="L135" s="99"/>
      <c r="N135" s="78"/>
      <c r="AB135" s="623">
        <v>45638</v>
      </c>
      <c r="AC135" s="624"/>
    </row>
    <row r="136" spans="1:29">
      <c r="A136" s="106" t="s">
        <v>133</v>
      </c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8"/>
      <c r="N136" s="106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625"/>
      <c r="AC136" s="626"/>
    </row>
    <row r="138" spans="1:29">
      <c r="B138" t="s">
        <v>134</v>
      </c>
      <c r="C138" s="255"/>
    </row>
    <row r="139" spans="1:29">
      <c r="B139" t="s">
        <v>135</v>
      </c>
      <c r="C139" s="255"/>
    </row>
    <row r="140" spans="1:29">
      <c r="C140" s="255"/>
    </row>
    <row r="141" spans="1:29">
      <c r="C141" s="255">
        <f>C138+C139</f>
        <v>0</v>
      </c>
    </row>
  </sheetData>
  <mergeCells count="54">
    <mergeCell ref="A41:L41"/>
    <mergeCell ref="N41:AC41"/>
    <mergeCell ref="C42:D42"/>
    <mergeCell ref="E42:F42"/>
    <mergeCell ref="K42:L42"/>
    <mergeCell ref="O42:Y42"/>
    <mergeCell ref="AB42:AC42"/>
    <mergeCell ref="Z19:Z20"/>
    <mergeCell ref="AB21:AC21"/>
    <mergeCell ref="AB30:AC30"/>
    <mergeCell ref="AB31:AC32"/>
    <mergeCell ref="C40:AC40"/>
    <mergeCell ref="C1:AC1"/>
    <mergeCell ref="Z4:Z5"/>
    <mergeCell ref="AB6:AC6"/>
    <mergeCell ref="O18:Y18"/>
    <mergeCell ref="AB18:AC18"/>
    <mergeCell ref="A2:L2"/>
    <mergeCell ref="N2:AC2"/>
    <mergeCell ref="C3:D3"/>
    <mergeCell ref="E3:F3"/>
    <mergeCell ref="K3:L3"/>
    <mergeCell ref="O3:Y3"/>
    <mergeCell ref="AB3:AC3"/>
    <mergeCell ref="G3:H3"/>
    <mergeCell ref="I3:J3"/>
    <mergeCell ref="Z58:Z59"/>
    <mergeCell ref="AB60:AC60"/>
    <mergeCell ref="AB69:AC69"/>
    <mergeCell ref="AB70:AC71"/>
    <mergeCell ref="G42:H42"/>
    <mergeCell ref="Z43:Z44"/>
    <mergeCell ref="AB45:AC45"/>
    <mergeCell ref="O57:Y57"/>
    <mergeCell ref="AB57:AC57"/>
    <mergeCell ref="I42:J42"/>
    <mergeCell ref="O122:Y122"/>
    <mergeCell ref="AB122:AC122"/>
    <mergeCell ref="C105:AC105"/>
    <mergeCell ref="A106:L106"/>
    <mergeCell ref="N106:AC106"/>
    <mergeCell ref="C107:D107"/>
    <mergeCell ref="E107:F107"/>
    <mergeCell ref="G107:H107"/>
    <mergeCell ref="I107:J107"/>
    <mergeCell ref="K107:L107"/>
    <mergeCell ref="O107:Y107"/>
    <mergeCell ref="AB107:AC107"/>
    <mergeCell ref="Z123:Z124"/>
    <mergeCell ref="AB125:AC125"/>
    <mergeCell ref="AB134:AC134"/>
    <mergeCell ref="AB135:AC136"/>
    <mergeCell ref="Z108:Z109"/>
    <mergeCell ref="AB110:AC110"/>
  </mergeCells>
  <pageMargins left="0.7" right="0.7" top="0.75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6961-5B24-4ED3-A30A-71871B97895B}">
  <sheetPr>
    <pageSetUpPr fitToPage="1"/>
  </sheetPr>
  <dimension ref="A1:W45"/>
  <sheetViews>
    <sheetView workbookViewId="0">
      <selection activeCell="B7" sqref="B7"/>
    </sheetView>
  </sheetViews>
  <sheetFormatPr defaultRowHeight="15" outlineLevelCol="1"/>
  <cols>
    <col min="1" max="1" width="32.42578125" customWidth="1"/>
    <col min="2" max="2" width="28.7109375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9.28515625" customWidth="1"/>
    <col min="9" max="9" width="3.28515625" customWidth="1"/>
    <col min="10" max="10" width="16.7109375" customWidth="1"/>
    <col min="11" max="11" width="15.5703125" customWidth="1" collapsed="1"/>
    <col min="12" max="12" width="4.7109375" customWidth="1"/>
    <col min="13" max="15" width="9.7109375" customWidth="1"/>
    <col min="16" max="16" width="9.140625" customWidth="1"/>
    <col min="17" max="21" width="9.140625" hidden="1" customWidth="1" outlineLevel="1"/>
    <col min="22" max="22" width="8.7109375" hidden="1" customWidth="1" outlineLevel="1"/>
    <col min="23" max="23" width="7.28515625" customWidth="1" collapsed="1"/>
    <col min="24" max="24" width="12.7109375" customWidth="1"/>
  </cols>
  <sheetData>
    <row r="1" spans="1:23" ht="25.5" customHeight="1">
      <c r="A1" s="187" t="s">
        <v>136</v>
      </c>
      <c r="B1" s="662" t="s">
        <v>137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  <c r="P1" s="663"/>
      <c r="Q1" s="663"/>
      <c r="R1" s="663"/>
      <c r="S1" s="663"/>
      <c r="T1" s="663"/>
      <c r="U1" s="663"/>
      <c r="V1" s="663"/>
      <c r="W1" s="663"/>
    </row>
    <row r="2" spans="1:23" ht="18.75">
      <c r="A2" s="655" t="s">
        <v>30</v>
      </c>
      <c r="B2" s="656"/>
      <c r="C2" s="656"/>
      <c r="D2" s="656"/>
      <c r="E2" s="656"/>
      <c r="F2" s="656"/>
      <c r="G2" s="656"/>
      <c r="H2" s="657"/>
      <c r="I2" s="7"/>
      <c r="J2" s="491"/>
      <c r="K2" s="491"/>
      <c r="L2" s="491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7"/>
    </row>
    <row r="3" spans="1:23" ht="30" customHeight="1">
      <c r="A3" s="561"/>
      <c r="B3" s="562"/>
      <c r="C3" s="658" t="s">
        <v>129</v>
      </c>
      <c r="D3" s="659"/>
      <c r="E3" s="658"/>
      <c r="F3" s="659"/>
      <c r="G3" s="660" t="s">
        <v>36</v>
      </c>
      <c r="H3" s="661"/>
      <c r="I3" s="562"/>
      <c r="J3" s="664" t="s">
        <v>138</v>
      </c>
      <c r="K3" s="665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6"/>
    </row>
    <row r="4" spans="1:23" ht="30.75">
      <c r="A4" s="216" t="s">
        <v>40</v>
      </c>
      <c r="B4" s="5" t="s">
        <v>41</v>
      </c>
      <c r="C4" s="77">
        <f>K4</f>
        <v>4728.1899999999996</v>
      </c>
      <c r="E4" s="77"/>
      <c r="G4" s="142">
        <f>E4+C4</f>
        <v>4728.1899999999996</v>
      </c>
      <c r="H4" s="80"/>
      <c r="J4" s="349" t="s">
        <v>64</v>
      </c>
      <c r="K4" s="502">
        <v>4728.1899999999996</v>
      </c>
      <c r="L4" s="110"/>
      <c r="M4" s="29"/>
      <c r="N4" s="28"/>
      <c r="O4" s="154"/>
      <c r="P4" s="154"/>
      <c r="Q4" s="29"/>
      <c r="R4" s="29"/>
      <c r="S4" s="29"/>
      <c r="T4" s="29"/>
      <c r="U4" s="29"/>
      <c r="V4" s="29"/>
      <c r="W4" s="559" t="s">
        <v>49</v>
      </c>
    </row>
    <row r="5" spans="1:23" ht="30.75">
      <c r="A5" s="216" t="s">
        <v>51</v>
      </c>
      <c r="B5" s="5" t="s">
        <v>52</v>
      </c>
      <c r="C5" s="161">
        <f>C6+C7+C8+C9+C10+C11+C13+C14+C17+C15+C12</f>
        <v>2195.6530309280001</v>
      </c>
      <c r="D5" s="5"/>
      <c r="E5" s="161">
        <f>E6+E7+E8+E9+E10+E11+E13+E14+E17+E15+E12</f>
        <v>0</v>
      </c>
      <c r="F5" s="5"/>
      <c r="G5" s="143">
        <f>G6+G7+G8+G9+G10+G11+G13+G14+G17+G15+G12+G18</f>
        <v>2195.6530309280001</v>
      </c>
      <c r="H5" s="81"/>
      <c r="J5" s="399" t="s">
        <v>67</v>
      </c>
      <c r="K5" s="507"/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542"/>
    </row>
    <row r="6" spans="1:23">
      <c r="A6" s="217" t="s">
        <v>54</v>
      </c>
      <c r="B6" s="75" t="s">
        <v>55</v>
      </c>
      <c r="C6" s="127">
        <f>89.12+8.69</f>
        <v>97.81</v>
      </c>
      <c r="D6" s="13">
        <f>C6+C7+C8</f>
        <v>97.81</v>
      </c>
      <c r="E6" s="147"/>
      <c r="F6" s="83">
        <f>E6+E7+E8</f>
        <v>0</v>
      </c>
      <c r="G6" s="169">
        <f>C6+E6</f>
        <v>97.81</v>
      </c>
      <c r="H6" s="84">
        <f>G6+G7+G8</f>
        <v>97.81</v>
      </c>
      <c r="J6" s="351" t="s">
        <v>71</v>
      </c>
      <c r="K6" s="352"/>
      <c r="M6" s="40">
        <f>W6/4</f>
        <v>0</v>
      </c>
      <c r="N6" s="40">
        <f>M6</f>
        <v>0</v>
      </c>
      <c r="O6" s="40">
        <f>M6</f>
        <v>0</v>
      </c>
      <c r="P6" s="40">
        <f>M6</f>
        <v>0</v>
      </c>
      <c r="Q6" s="40">
        <f>M6</f>
        <v>0</v>
      </c>
      <c r="R6" s="40"/>
      <c r="S6" s="41"/>
      <c r="T6" s="41"/>
      <c r="U6" s="41"/>
      <c r="V6" s="41"/>
      <c r="W6" s="218"/>
    </row>
    <row r="7" spans="1:23">
      <c r="A7" s="219" t="s">
        <v>56</v>
      </c>
      <c r="B7" s="86" t="s">
        <v>57</v>
      </c>
      <c r="C7" s="126"/>
      <c r="D7" s="13"/>
      <c r="E7" s="133"/>
      <c r="F7" s="83"/>
      <c r="G7" s="169">
        <f t="shared" ref="G7:G17" si="0">C7+E7</f>
        <v>0</v>
      </c>
      <c r="H7" s="84"/>
      <c r="J7" s="353" t="s">
        <v>74</v>
      </c>
      <c r="K7" s="354" t="s">
        <v>75</v>
      </c>
      <c r="M7" s="49">
        <f>16.4+14.5+14</f>
        <v>44.9</v>
      </c>
      <c r="N7" s="50"/>
      <c r="O7" s="50"/>
      <c r="P7" s="50"/>
      <c r="Q7" s="50"/>
      <c r="R7" s="50"/>
      <c r="S7" s="51"/>
      <c r="T7" s="51"/>
      <c r="U7" s="51"/>
      <c r="V7" s="51"/>
      <c r="W7" s="325">
        <f>M7+N7+O7+P7+Q7+R7+S7+T7+U7+V7</f>
        <v>44.9</v>
      </c>
    </row>
    <row r="8" spans="1:23">
      <c r="A8" s="220" t="s">
        <v>58</v>
      </c>
      <c r="B8" s="76" t="s">
        <v>59</v>
      </c>
      <c r="C8" s="18">
        <f>D40</f>
        <v>0</v>
      </c>
      <c r="D8" s="14"/>
      <c r="E8" s="14"/>
      <c r="F8" s="88"/>
      <c r="G8" s="169">
        <f t="shared" si="0"/>
        <v>0</v>
      </c>
      <c r="H8" s="89"/>
      <c r="J8" s="355" t="s">
        <v>78</v>
      </c>
      <c r="K8" s="465">
        <v>13</v>
      </c>
      <c r="W8" s="221"/>
    </row>
    <row r="9" spans="1:23">
      <c r="A9" s="217" t="s">
        <v>60</v>
      </c>
      <c r="B9" s="75" t="s">
        <v>61</v>
      </c>
      <c r="C9" s="257">
        <f>313.11+331.57+33.57*10*1.42+28.5*5*1.42</f>
        <v>1323.7239999999999</v>
      </c>
      <c r="D9" s="141">
        <f>C9+C10+C11+C13+C12</f>
        <v>2097.8430309280002</v>
      </c>
      <c r="E9" s="148"/>
      <c r="F9" s="128">
        <f>E9+E10+E11+E13+E12</f>
        <v>0</v>
      </c>
      <c r="G9" s="21">
        <f t="shared" si="0"/>
        <v>1323.7239999999999</v>
      </c>
      <c r="H9" s="90">
        <f>G9+G10+G11+G13+G12</f>
        <v>2097.8430309280002</v>
      </c>
      <c r="J9" s="357" t="s">
        <v>81</v>
      </c>
      <c r="K9" s="358">
        <v>12</v>
      </c>
      <c r="W9" s="221"/>
    </row>
    <row r="10" spans="1:23">
      <c r="A10" s="219" t="s">
        <v>62</v>
      </c>
      <c r="B10" s="86" t="s">
        <v>63</v>
      </c>
      <c r="C10" s="126">
        <f>C9*0.2359</f>
        <v>312.26649159999999</v>
      </c>
      <c r="D10" s="13"/>
      <c r="E10" s="145">
        <f>E9*0.2359</f>
        <v>0</v>
      </c>
      <c r="F10" s="83"/>
      <c r="G10" s="22">
        <f t="shared" si="0"/>
        <v>312.26649159999999</v>
      </c>
      <c r="H10" s="89"/>
      <c r="W10" s="221"/>
    </row>
    <row r="11" spans="1:23">
      <c r="A11" s="219" t="s">
        <v>65</v>
      </c>
      <c r="B11" s="86" t="s">
        <v>66</v>
      </c>
      <c r="C11" s="126">
        <f>(C9+C10)*0.08</f>
        <v>130.87923932800001</v>
      </c>
      <c r="D11" s="13"/>
      <c r="E11" s="145">
        <f>(E9+E10)*0.08</f>
        <v>0</v>
      </c>
      <c r="F11" s="83"/>
      <c r="G11" s="22">
        <f t="shared" si="0"/>
        <v>130.87923932800001</v>
      </c>
      <c r="H11" s="89"/>
      <c r="J11" s="668" t="s">
        <v>85</v>
      </c>
      <c r="K11" s="669"/>
      <c r="W11" s="221"/>
    </row>
    <row r="12" spans="1:23">
      <c r="A12" s="222" t="s">
        <v>68</v>
      </c>
      <c r="B12" s="92" t="s">
        <v>21</v>
      </c>
      <c r="C12" s="127">
        <f>(C4)*0.07</f>
        <v>330.97329999999999</v>
      </c>
      <c r="D12" s="127"/>
      <c r="E12" s="127">
        <f t="shared" ref="E12" si="1">(E4)*0.07</f>
        <v>0</v>
      </c>
      <c r="F12" s="123"/>
      <c r="G12" s="22">
        <f t="shared" si="0"/>
        <v>330.97329999999999</v>
      </c>
      <c r="H12" s="89"/>
      <c r="J12" s="359" t="s">
        <v>50</v>
      </c>
      <c r="K12" s="360"/>
      <c r="W12" s="221"/>
    </row>
    <row r="13" spans="1:23">
      <c r="A13" s="219" t="s">
        <v>69</v>
      </c>
      <c r="B13" s="86" t="s">
        <v>70</v>
      </c>
      <c r="C13" s="130"/>
      <c r="D13" s="134"/>
      <c r="E13" s="150"/>
      <c r="F13" s="125"/>
      <c r="G13" s="23">
        <f t="shared" si="0"/>
        <v>0</v>
      </c>
      <c r="H13" s="93"/>
      <c r="J13" s="361" t="s">
        <v>53</v>
      </c>
      <c r="K13" s="362"/>
      <c r="W13" s="221"/>
    </row>
    <row r="14" spans="1:23">
      <c r="A14" s="223" t="s">
        <v>72</v>
      </c>
      <c r="B14" s="75" t="s">
        <v>73</v>
      </c>
      <c r="C14" s="127"/>
      <c r="D14" s="145">
        <f>C14+C17+C15</f>
        <v>0</v>
      </c>
      <c r="E14" s="147"/>
      <c r="F14" s="131">
        <f>E14+E17+E15</f>
        <v>0</v>
      </c>
      <c r="G14" s="169">
        <f t="shared" si="0"/>
        <v>0</v>
      </c>
      <c r="H14" s="89">
        <f>G14+G17+G15+G18</f>
        <v>0</v>
      </c>
      <c r="W14" s="221"/>
    </row>
    <row r="15" spans="1:23" ht="18" customHeight="1">
      <c r="A15" s="224" t="s">
        <v>76</v>
      </c>
      <c r="B15" s="86" t="s">
        <v>77</v>
      </c>
      <c r="C15" s="127"/>
      <c r="D15" s="13"/>
      <c r="E15" s="133"/>
      <c r="F15" s="83"/>
      <c r="G15" s="169">
        <f t="shared" si="0"/>
        <v>0</v>
      </c>
      <c r="H15" s="89"/>
      <c r="J15" s="651" t="s">
        <v>89</v>
      </c>
      <c r="K15" s="652"/>
      <c r="W15" s="221"/>
    </row>
    <row r="16" spans="1:23">
      <c r="A16" s="224" t="s">
        <v>139</v>
      </c>
      <c r="B16" s="86" t="s">
        <v>140</v>
      </c>
      <c r="C16" s="126"/>
      <c r="D16" s="13"/>
      <c r="E16" s="252"/>
      <c r="F16" s="13"/>
      <c r="G16" s="9">
        <f t="shared" si="0"/>
        <v>0</v>
      </c>
      <c r="H16" s="1"/>
      <c r="I16" s="229"/>
      <c r="J16" s="359" t="s">
        <v>50</v>
      </c>
      <c r="K16" s="360"/>
      <c r="W16" s="221"/>
    </row>
    <row r="17" spans="1:23">
      <c r="A17" s="219" t="s">
        <v>79</v>
      </c>
      <c r="B17" s="86" t="s">
        <v>80</v>
      </c>
      <c r="C17" s="126"/>
      <c r="D17" s="13"/>
      <c r="E17" s="145"/>
      <c r="F17" s="83"/>
      <c r="G17" s="169">
        <f>C17+E17</f>
        <v>0</v>
      </c>
      <c r="H17" s="89"/>
      <c r="J17" s="363" t="s">
        <v>53</v>
      </c>
      <c r="K17" s="364">
        <f>H9-G12</f>
        <v>1766.8697309280001</v>
      </c>
      <c r="W17" s="221"/>
    </row>
    <row r="18" spans="1:23">
      <c r="A18" s="219"/>
      <c r="B18" s="86"/>
      <c r="C18" s="126"/>
      <c r="D18" s="83"/>
      <c r="E18" s="126"/>
      <c r="F18" s="83"/>
      <c r="G18" s="169"/>
      <c r="H18" s="89"/>
      <c r="J18" s="586" t="s">
        <v>141</v>
      </c>
      <c r="K18" s="512">
        <f>K17/W7</f>
        <v>39.351218951625839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324"/>
    </row>
    <row r="19" spans="1:23" ht="18.75" customHeight="1">
      <c r="A19" s="216" t="s">
        <v>82</v>
      </c>
      <c r="B19" s="5" t="s">
        <v>83</v>
      </c>
      <c r="C19" s="157">
        <f>C4-C5</f>
        <v>2532.5369690719995</v>
      </c>
      <c r="D19" s="121">
        <f>C19/C4</f>
        <v>0.53562504236758668</v>
      </c>
      <c r="E19" s="157">
        <f>E4-E5</f>
        <v>0</v>
      </c>
      <c r="F19" s="122" t="e">
        <f>E19/E4</f>
        <v>#DIV/0!</v>
      </c>
      <c r="G19" s="15">
        <f>G4-G5</f>
        <v>2532.5369690719995</v>
      </c>
      <c r="H19" s="96">
        <f>G19/G4</f>
        <v>0.53562504236758668</v>
      </c>
      <c r="M19" s="29"/>
      <c r="N19" s="28"/>
      <c r="O19" s="154"/>
      <c r="P19" s="154"/>
      <c r="Q19" s="29"/>
      <c r="R19" s="29"/>
      <c r="S19" s="28"/>
      <c r="T19" s="28"/>
      <c r="U19" s="28"/>
      <c r="V19" s="28"/>
      <c r="W19" s="543" t="s">
        <v>49</v>
      </c>
    </row>
    <row r="20" spans="1:23" ht="15.75" customHeight="1">
      <c r="A20" s="393" t="s">
        <v>142</v>
      </c>
      <c r="B20" s="339" t="s">
        <v>143</v>
      </c>
      <c r="C20" s="339"/>
      <c r="D20" s="339"/>
      <c r="E20" s="339"/>
      <c r="F20" s="339"/>
      <c r="G20" s="494"/>
      <c r="H20" s="184">
        <f>G20/K4</f>
        <v>0</v>
      </c>
      <c r="J20" s="649" t="s">
        <v>100</v>
      </c>
      <c r="K20" s="650"/>
      <c r="M20" s="66">
        <v>1</v>
      </c>
      <c r="N20" s="66">
        <v>2</v>
      </c>
      <c r="O20" s="66">
        <v>3</v>
      </c>
      <c r="P20" s="66">
        <v>4</v>
      </c>
      <c r="Q20" s="66">
        <v>5</v>
      </c>
      <c r="R20" s="66">
        <v>6</v>
      </c>
      <c r="S20" s="66">
        <v>7</v>
      </c>
      <c r="T20" s="66">
        <v>8</v>
      </c>
      <c r="U20" s="66">
        <v>9</v>
      </c>
      <c r="V20" s="66">
        <v>10</v>
      </c>
      <c r="W20" s="544"/>
    </row>
    <row r="21" spans="1:23" ht="25.5" customHeight="1">
      <c r="A21" s="225"/>
      <c r="B21" s="98"/>
      <c r="C21" s="98"/>
      <c r="D21" s="98"/>
      <c r="E21" s="98"/>
      <c r="F21" s="98"/>
      <c r="H21" s="99"/>
      <c r="J21" s="367" t="s">
        <v>50</v>
      </c>
      <c r="K21" s="368" t="e">
        <f>W6/K6</f>
        <v>#DIV/0!</v>
      </c>
      <c r="M21" s="69">
        <f>W21/4</f>
        <v>0</v>
      </c>
      <c r="N21" s="69">
        <f>M21</f>
        <v>0</v>
      </c>
      <c r="O21" s="69">
        <f>M21</f>
        <v>0</v>
      </c>
      <c r="P21" s="69">
        <f>M21</f>
        <v>0</v>
      </c>
      <c r="Q21" s="69">
        <f>M21</f>
        <v>0</v>
      </c>
      <c r="R21" s="69"/>
      <c r="S21" s="69"/>
      <c r="T21" s="69"/>
      <c r="U21" s="69"/>
      <c r="V21" s="69"/>
      <c r="W21" s="326">
        <f>K26</f>
        <v>0</v>
      </c>
    </row>
    <row r="22" spans="1:23" ht="27">
      <c r="A22" s="395" t="s">
        <v>86</v>
      </c>
      <c r="B22" s="412" t="s">
        <v>144</v>
      </c>
      <c r="C22" s="587" t="s">
        <v>145</v>
      </c>
      <c r="D22" s="101"/>
      <c r="E22" s="101"/>
      <c r="F22" s="101"/>
      <c r="H22" s="99"/>
      <c r="J22" s="369" t="s">
        <v>53</v>
      </c>
      <c r="K22" s="370" t="e">
        <f>W7/K6</f>
        <v>#DIV/0!</v>
      </c>
      <c r="M22" s="71">
        <f>C14+C15</f>
        <v>0</v>
      </c>
      <c r="N22" s="72"/>
      <c r="O22" s="72"/>
      <c r="P22" s="72"/>
      <c r="Q22" s="72"/>
      <c r="R22" s="72"/>
      <c r="S22" s="72"/>
      <c r="T22" s="72"/>
      <c r="U22" s="72"/>
      <c r="V22" s="72"/>
      <c r="W22" s="436">
        <f>M22+N22+O22+P22+Q22+R22+S22+T22+U22+V22</f>
        <v>0</v>
      </c>
    </row>
    <row r="23" spans="1:23" ht="27">
      <c r="A23" s="226" t="s">
        <v>88</v>
      </c>
      <c r="B23" s="449">
        <f>H6/G5</f>
        <v>4.4547111325080484E-2</v>
      </c>
      <c r="C23" s="410"/>
      <c r="D23" s="103"/>
      <c r="E23" s="103"/>
      <c r="F23" s="103"/>
      <c r="H23" s="99"/>
      <c r="J23" s="365" t="s">
        <v>146</v>
      </c>
      <c r="K23" s="366" t="e">
        <f>K22*K18</f>
        <v>#DIV/0!</v>
      </c>
      <c r="W23" s="221"/>
    </row>
    <row r="24" spans="1:23">
      <c r="A24" s="227" t="s">
        <v>89</v>
      </c>
      <c r="B24" s="449">
        <f>H9/G5</f>
        <v>0.95545288867491951</v>
      </c>
      <c r="C24" s="410"/>
      <c r="D24" s="103"/>
      <c r="E24" s="103"/>
      <c r="F24" s="103"/>
      <c r="H24" s="99"/>
      <c r="W24" s="221"/>
    </row>
    <row r="25" spans="1:23">
      <c r="A25" s="489" t="s">
        <v>91</v>
      </c>
      <c r="B25" s="484">
        <f>H14/G5</f>
        <v>0</v>
      </c>
      <c r="C25" s="381"/>
      <c r="D25" s="103"/>
      <c r="E25" s="103"/>
      <c r="F25" s="103"/>
      <c r="H25" s="99"/>
      <c r="J25" s="651" t="s">
        <v>90</v>
      </c>
      <c r="K25" s="652"/>
      <c r="W25" s="221"/>
    </row>
    <row r="26" spans="1:23">
      <c r="A26" s="229"/>
      <c r="H26" s="99"/>
      <c r="J26" s="359" t="s">
        <v>50</v>
      </c>
      <c r="K26" s="360"/>
      <c r="W26" s="221"/>
    </row>
    <row r="27" spans="1:23">
      <c r="A27" s="229"/>
      <c r="H27" s="99"/>
      <c r="J27" s="363" t="s">
        <v>53</v>
      </c>
      <c r="K27" s="364">
        <f>G14+G15</f>
        <v>0</v>
      </c>
      <c r="W27" s="221"/>
    </row>
    <row r="28" spans="1:23" ht="30.75">
      <c r="A28" s="229"/>
      <c r="H28" s="99"/>
      <c r="J28" s="490" t="s">
        <v>147</v>
      </c>
      <c r="K28" s="366">
        <f>G14/W7</f>
        <v>0</v>
      </c>
      <c r="W28" s="221"/>
    </row>
    <row r="29" spans="1:23">
      <c r="A29" s="229"/>
      <c r="H29" s="99"/>
      <c r="W29" s="221"/>
    </row>
    <row r="30" spans="1:23" ht="24.75">
      <c r="A30" s="229"/>
      <c r="H30" s="99"/>
      <c r="J30" s="189" t="s">
        <v>92</v>
      </c>
      <c r="K30" s="136"/>
      <c r="W30" s="221"/>
    </row>
    <row r="31" spans="1:23" ht="45.75">
      <c r="A31" s="229"/>
      <c r="H31" s="99"/>
      <c r="J31" s="10" t="s">
        <v>93</v>
      </c>
      <c r="K31" s="136">
        <f>G8</f>
        <v>0</v>
      </c>
      <c r="W31" s="221"/>
    </row>
    <row r="32" spans="1:23">
      <c r="A32" s="229"/>
      <c r="H32" s="99"/>
      <c r="W32" s="221"/>
    </row>
    <row r="33" spans="1:23">
      <c r="A33" s="229"/>
      <c r="H33" s="99"/>
      <c r="J33" s="621" t="s">
        <v>94</v>
      </c>
      <c r="K33" s="622"/>
      <c r="W33" s="221"/>
    </row>
    <row r="34" spans="1:23">
      <c r="A34" s="229"/>
      <c r="J34" s="653">
        <v>45586</v>
      </c>
      <c r="K34" s="654"/>
      <c r="W34" s="221"/>
    </row>
    <row r="35" spans="1:23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2"/>
    </row>
    <row r="36" spans="1:23">
      <c r="A36" s="593"/>
      <c r="B36" s="592"/>
      <c r="C36" s="179"/>
      <c r="D36" s="179"/>
    </row>
    <row r="37" spans="1:23">
      <c r="A37" s="88"/>
      <c r="B37" s="88"/>
    </row>
    <row r="38" spans="1:23">
      <c r="A38" s="88"/>
      <c r="B38" s="485"/>
      <c r="C38" s="1"/>
      <c r="D38" s="1"/>
      <c r="E38" s="1"/>
    </row>
    <row r="39" spans="1:23">
      <c r="A39" s="88"/>
      <c r="B39" s="88"/>
      <c r="I39" s="1"/>
    </row>
    <row r="40" spans="1:23">
      <c r="A40" s="485"/>
      <c r="B40" s="485"/>
      <c r="C40" s="1"/>
      <c r="D40" s="1"/>
      <c r="E40" s="1"/>
    </row>
    <row r="41" spans="1:23">
      <c r="A41" s="1"/>
      <c r="B41" s="1"/>
      <c r="C41" s="1"/>
      <c r="D41" s="1"/>
      <c r="E41" s="1"/>
    </row>
    <row r="45" spans="1:23">
      <c r="A45" s="1"/>
    </row>
  </sheetData>
  <mergeCells count="14">
    <mergeCell ref="M18:N18"/>
    <mergeCell ref="B1:W1"/>
    <mergeCell ref="J3:K3"/>
    <mergeCell ref="M3:N3"/>
    <mergeCell ref="J11:K11"/>
    <mergeCell ref="J15:K15"/>
    <mergeCell ref="J20:K20"/>
    <mergeCell ref="J25:K25"/>
    <mergeCell ref="J33:K33"/>
    <mergeCell ref="J34:K34"/>
    <mergeCell ref="A2:H2"/>
    <mergeCell ref="C3:D3"/>
    <mergeCell ref="E3:F3"/>
    <mergeCell ref="G3:H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A8EF53F6-E537-4A7B-9E0C-02F693BCDA65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3D9F98BC-8EFB-4420-9C3C-FCA4CC01EDD0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3" operator="greaterThan" id="{2D4B3E86-7022-4744-8936-B303B90678D7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62300-7673-4A40-B5DB-6E3F83BC93EC}">
  <sheetPr>
    <pageSetUpPr fitToPage="1"/>
  </sheetPr>
  <dimension ref="A1:W42"/>
  <sheetViews>
    <sheetView workbookViewId="0">
      <selection activeCell="E14" sqref="E14:E16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1.5703125" customWidth="1"/>
    <col min="4" max="4" width="10.7109375" customWidth="1"/>
    <col min="5" max="5" width="10.7109375" customWidth="1" outlineLevel="1"/>
    <col min="6" max="6" width="10.140625" customWidth="1" outlineLevel="1"/>
    <col min="7" max="7" width="9.42578125" customWidth="1"/>
    <col min="8" max="8" width="8.5703125" customWidth="1" collapsed="1"/>
    <col min="9" max="9" width="4.140625" customWidth="1"/>
    <col min="10" max="10" width="21.42578125" customWidth="1"/>
    <col min="11" max="11" width="14.140625" customWidth="1"/>
    <col min="12" max="12" width="4.140625" customWidth="1"/>
    <col min="13" max="17" width="10.7109375" customWidth="1"/>
    <col min="18" max="18" width="10.85546875" customWidth="1"/>
    <col min="19" max="22" width="9.140625" hidden="1" customWidth="1" outlineLevel="1"/>
    <col min="23" max="23" width="7.28515625" customWidth="1" collapsed="1"/>
  </cols>
  <sheetData>
    <row r="1" spans="1:23" ht="25.5" customHeight="1">
      <c r="A1" s="187" t="s">
        <v>148</v>
      </c>
      <c r="B1" s="663" t="s">
        <v>149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  <c r="P1" s="663"/>
      <c r="Q1" s="663"/>
      <c r="R1" s="663"/>
      <c r="S1" s="663"/>
      <c r="T1" s="663"/>
      <c r="U1" s="663"/>
      <c r="V1" s="663"/>
      <c r="W1" s="663"/>
    </row>
    <row r="2" spans="1:23" ht="18.75">
      <c r="A2" s="655" t="s">
        <v>30</v>
      </c>
      <c r="B2" s="656"/>
      <c r="C2" s="656"/>
      <c r="D2" s="656"/>
      <c r="E2" s="656"/>
      <c r="F2" s="656"/>
      <c r="G2" s="656"/>
      <c r="H2" s="657"/>
      <c r="I2" s="7"/>
      <c r="J2" s="491"/>
      <c r="K2" s="491"/>
      <c r="L2" s="491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7"/>
    </row>
    <row r="3" spans="1:23" ht="15.75" customHeight="1">
      <c r="A3" s="561"/>
      <c r="B3" s="562"/>
      <c r="C3" s="658" t="s">
        <v>129</v>
      </c>
      <c r="D3" s="659"/>
      <c r="E3" s="658" t="s">
        <v>130</v>
      </c>
      <c r="F3" s="659"/>
      <c r="G3" s="660" t="s">
        <v>36</v>
      </c>
      <c r="H3" s="661"/>
      <c r="I3" s="562"/>
      <c r="J3" s="670" t="s">
        <v>138</v>
      </c>
      <c r="K3" s="671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6"/>
    </row>
    <row r="4" spans="1:23" ht="16.5" customHeight="1">
      <c r="A4" s="216" t="s">
        <v>40</v>
      </c>
      <c r="B4" s="5" t="s">
        <v>41</v>
      </c>
      <c r="C4" s="198">
        <f>K4</f>
        <v>57000</v>
      </c>
      <c r="D4" s="181"/>
      <c r="E4" s="198">
        <f>K5</f>
        <v>7030.01</v>
      </c>
      <c r="G4" s="142">
        <f>E4+C4</f>
        <v>64030.01</v>
      </c>
      <c r="H4" s="80"/>
      <c r="J4" s="349" t="s">
        <v>64</v>
      </c>
      <c r="K4" s="502">
        <v>57000</v>
      </c>
      <c r="L4" s="110"/>
      <c r="M4" s="29" t="s">
        <v>150</v>
      </c>
      <c r="N4" s="28" t="s">
        <v>151</v>
      </c>
      <c r="O4" s="154" t="s">
        <v>152</v>
      </c>
      <c r="P4" s="154" t="s">
        <v>153</v>
      </c>
      <c r="Q4" s="29" t="s">
        <v>154</v>
      </c>
      <c r="R4" s="29" t="s">
        <v>155</v>
      </c>
      <c r="S4" s="29"/>
      <c r="T4" s="29"/>
      <c r="U4" s="29"/>
      <c r="V4" s="29"/>
      <c r="W4" s="559" t="s">
        <v>49</v>
      </c>
    </row>
    <row r="5" spans="1:23">
      <c r="A5" s="216" t="s">
        <v>51</v>
      </c>
      <c r="B5" s="5" t="s">
        <v>52</v>
      </c>
      <c r="C5" s="161">
        <f>C6+C7+C8+C9+C10+C11+C13+C14+C17+C15+C12</f>
        <v>22113.309509163999</v>
      </c>
      <c r="D5" s="5"/>
      <c r="E5" s="161">
        <f>E6+E7+E8+E9+E10+E11+E13+E14+E17+E15+E12</f>
        <v>29621.634752019199</v>
      </c>
      <c r="F5" s="5"/>
      <c r="G5" s="143">
        <f>G6+G7+G8+G9+G10+G11+G13+G14+G17+G15+G12+G18</f>
        <v>51734.944261183213</v>
      </c>
      <c r="H5" s="81"/>
      <c r="J5" s="399" t="s">
        <v>67</v>
      </c>
      <c r="K5" s="400">
        <v>7030.01</v>
      </c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542"/>
    </row>
    <row r="6" spans="1:23">
      <c r="A6" s="217" t="s">
        <v>54</v>
      </c>
      <c r="B6" s="75" t="s">
        <v>55</v>
      </c>
      <c r="C6" s="127">
        <f>C39+1847.48+395.57+1349.81+30.95+24.95+7.3+127.43+598.08+305.25+6.75+15.8+33.92+3.88+144.22+129.45+10.8+60.5+24.6+136.6+5.4+263.93+233.22+13.6</f>
        <v>5769.4900000000016</v>
      </c>
      <c r="D6" s="13">
        <f>C6+C7+C8</f>
        <v>7239.4900000000016</v>
      </c>
      <c r="E6" s="147">
        <f>34.2+50.83+52+74.61+25.5+15.95+14+5.3+29.6+72.38+7+40+47.27</f>
        <v>468.64</v>
      </c>
      <c r="F6" s="83">
        <f>E6+E7+E8</f>
        <v>19542.489999999998</v>
      </c>
      <c r="G6" s="169">
        <f>C6+E6</f>
        <v>6238.1300000000019</v>
      </c>
      <c r="H6" s="84">
        <f>G6+G7+G8</f>
        <v>26781.98</v>
      </c>
      <c r="J6" s="351" t="s">
        <v>71</v>
      </c>
      <c r="K6" s="352">
        <f>50.07+0.52</f>
        <v>50.59</v>
      </c>
      <c r="M6" s="40">
        <f>W6/4</f>
        <v>123.99250000000001</v>
      </c>
      <c r="N6" s="40">
        <f>M6</f>
        <v>123.99250000000001</v>
      </c>
      <c r="O6" s="40">
        <f>M6</f>
        <v>123.99250000000001</v>
      </c>
      <c r="P6" s="40">
        <f>M6</f>
        <v>123.99250000000001</v>
      </c>
      <c r="Q6" s="40">
        <f>M6</f>
        <v>123.99250000000001</v>
      </c>
      <c r="R6" s="40"/>
      <c r="S6" s="41"/>
      <c r="T6" s="41"/>
      <c r="U6" s="41"/>
      <c r="V6" s="41"/>
      <c r="W6" s="218">
        <v>495.97</v>
      </c>
    </row>
    <row r="7" spans="1:23">
      <c r="A7" s="219" t="s">
        <v>56</v>
      </c>
      <c r="B7" s="86" t="s">
        <v>57</v>
      </c>
      <c r="C7" s="126">
        <f>370+1100</f>
        <v>1470</v>
      </c>
      <c r="D7" s="13"/>
      <c r="E7" s="133"/>
      <c r="F7" s="83"/>
      <c r="G7" s="169">
        <f t="shared" ref="G7:G17" si="0">C7+E7</f>
        <v>1470</v>
      </c>
      <c r="H7" s="84"/>
      <c r="J7" s="353" t="s">
        <v>74</v>
      </c>
      <c r="K7" s="354" t="s">
        <v>75</v>
      </c>
      <c r="M7" s="49">
        <f>48.73</f>
        <v>48.73</v>
      </c>
      <c r="N7" s="50">
        <f>36.8+109.23</f>
        <v>146.03</v>
      </c>
      <c r="O7" s="50">
        <f>42+5.59</f>
        <v>47.59</v>
      </c>
      <c r="P7" s="50"/>
      <c r="Q7" s="50">
        <v>233</v>
      </c>
      <c r="R7" s="50"/>
      <c r="S7" s="51"/>
      <c r="T7" s="51"/>
      <c r="U7" s="51"/>
      <c r="V7" s="51"/>
      <c r="W7" s="325">
        <f>M7+N7+O7+P7+Q7+R7+S7+T7+U7+V7</f>
        <v>475.35</v>
      </c>
    </row>
    <row r="8" spans="1:23">
      <c r="A8" s="220" t="s">
        <v>58</v>
      </c>
      <c r="B8" s="76" t="s">
        <v>59</v>
      </c>
      <c r="C8" s="18">
        <f>D40</f>
        <v>0</v>
      </c>
      <c r="D8" s="14"/>
      <c r="E8" s="14">
        <f>2400+2871.28+814.83+411.99+12575.75</f>
        <v>19073.849999999999</v>
      </c>
      <c r="F8" s="88"/>
      <c r="G8" s="169">
        <f t="shared" si="0"/>
        <v>19073.849999999999</v>
      </c>
      <c r="H8" s="89"/>
      <c r="J8" s="355" t="s">
        <v>78</v>
      </c>
      <c r="K8" s="465">
        <v>13</v>
      </c>
      <c r="W8" s="221"/>
    </row>
    <row r="9" spans="1:23">
      <c r="A9" s="217" t="s">
        <v>60</v>
      </c>
      <c r="B9" s="75" t="s">
        <v>61</v>
      </c>
      <c r="C9" s="257">
        <f>1561.6*1.42+((163.55*15-C13)*1.42)</f>
        <v>2222.0869999999995</v>
      </c>
      <c r="D9" s="141">
        <f>C9+C10+C11+C13+C12</f>
        <v>9405.979509163999</v>
      </c>
      <c r="E9" s="249">
        <f>(1296.33+661.75+600)*1.42</f>
        <v>3632.4735999999998</v>
      </c>
      <c r="F9" s="128">
        <f>E9+E10+E11+E13+E12</f>
        <v>7440.6247520191991</v>
      </c>
      <c r="G9" s="21">
        <f t="shared" si="0"/>
        <v>5854.5605999999989</v>
      </c>
      <c r="H9" s="90">
        <f>G9+G10+G11+G13+G12</f>
        <v>16846.604261183202</v>
      </c>
      <c r="J9" s="357" t="s">
        <v>81</v>
      </c>
      <c r="K9" s="358">
        <v>12</v>
      </c>
      <c r="W9" s="221"/>
    </row>
    <row r="10" spans="1:23">
      <c r="A10" s="219" t="s">
        <v>62</v>
      </c>
      <c r="B10" s="86" t="s">
        <v>63</v>
      </c>
      <c r="C10" s="126">
        <f>C9*0.2359</f>
        <v>524.19032329999993</v>
      </c>
      <c r="D10" s="13"/>
      <c r="E10" s="145">
        <f>E9*0.2359</f>
        <v>856.90052223999999</v>
      </c>
      <c r="F10" s="83"/>
      <c r="G10" s="22">
        <f t="shared" si="0"/>
        <v>1381.0908455399999</v>
      </c>
      <c r="H10" s="89"/>
      <c r="W10" s="221"/>
    </row>
    <row r="11" spans="1:23">
      <c r="A11" s="219" t="s">
        <v>65</v>
      </c>
      <c r="B11" s="86" t="s">
        <v>66</v>
      </c>
      <c r="C11" s="126">
        <f>(C9+C10)*0.08</f>
        <v>219.70218586399994</v>
      </c>
      <c r="D11" s="13"/>
      <c r="E11" s="145">
        <f>(E9+E10)*0.08</f>
        <v>359.14992977919997</v>
      </c>
      <c r="F11" s="83"/>
      <c r="G11" s="22">
        <f t="shared" si="0"/>
        <v>578.85211564319991</v>
      </c>
      <c r="H11" s="89"/>
      <c r="J11" s="668" t="s">
        <v>85</v>
      </c>
      <c r="K11" s="669"/>
      <c r="W11" s="221"/>
    </row>
    <row r="12" spans="1:23">
      <c r="A12" s="222" t="s">
        <v>68</v>
      </c>
      <c r="B12" s="92" t="s">
        <v>21</v>
      </c>
      <c r="C12" s="127">
        <f>(C4)*0.07</f>
        <v>3990.0000000000005</v>
      </c>
      <c r="D12" s="127"/>
      <c r="E12" s="127">
        <f t="shared" ref="E12" si="1">(E4)*0.07</f>
        <v>492.10070000000007</v>
      </c>
      <c r="F12" s="123"/>
      <c r="G12" s="22">
        <f t="shared" si="0"/>
        <v>4482.1007000000009</v>
      </c>
      <c r="H12" s="89"/>
      <c r="J12" s="359" t="s">
        <v>50</v>
      </c>
      <c r="K12" s="360">
        <v>7013.12</v>
      </c>
      <c r="W12" s="221"/>
    </row>
    <row r="13" spans="1:23">
      <c r="A13" s="219" t="s">
        <v>69</v>
      </c>
      <c r="B13" s="86" t="s">
        <v>70</v>
      </c>
      <c r="C13" s="130">
        <f>400+41*50</f>
        <v>2450</v>
      </c>
      <c r="D13" s="134"/>
      <c r="E13" s="150">
        <f>500*4+100</f>
        <v>2100</v>
      </c>
      <c r="F13" s="125"/>
      <c r="G13" s="23">
        <f t="shared" si="0"/>
        <v>4550</v>
      </c>
      <c r="H13" s="93"/>
      <c r="J13" s="361" t="s">
        <v>53</v>
      </c>
      <c r="K13" s="403">
        <f>G6+G7</f>
        <v>7708.1300000000019</v>
      </c>
      <c r="W13" s="221"/>
    </row>
    <row r="14" spans="1:23">
      <c r="A14" s="223" t="s">
        <v>72</v>
      </c>
      <c r="B14" s="75" t="s">
        <v>73</v>
      </c>
      <c r="C14" s="127">
        <v>2520</v>
      </c>
      <c r="D14" s="145">
        <f>C14+C17+C15</f>
        <v>5467.84</v>
      </c>
      <c r="E14" s="250">
        <f>1044+116+40+240.48</f>
        <v>1440.48</v>
      </c>
      <c r="F14" s="131">
        <f>E14+E17+E15</f>
        <v>2638.5200000000004</v>
      </c>
      <c r="G14" s="169">
        <f t="shared" si="0"/>
        <v>3960.48</v>
      </c>
      <c r="H14" s="89">
        <f>G14+G17+G15+G18</f>
        <v>8106.3600000000006</v>
      </c>
      <c r="W14" s="221"/>
    </row>
    <row r="15" spans="1:23">
      <c r="A15" s="224" t="s">
        <v>76</v>
      </c>
      <c r="B15" s="86" t="s">
        <v>77</v>
      </c>
      <c r="C15" s="127">
        <f>125.99+194.98+546.6+593.5</f>
        <v>1461.07</v>
      </c>
      <c r="D15" s="13"/>
      <c r="E15" s="252">
        <f>215.99+308.92</f>
        <v>524.91000000000008</v>
      </c>
      <c r="F15" s="83"/>
      <c r="G15" s="169">
        <f t="shared" si="0"/>
        <v>1985.98</v>
      </c>
      <c r="H15" s="89"/>
      <c r="J15" s="651" t="s">
        <v>89</v>
      </c>
      <c r="K15" s="652"/>
      <c r="W15" s="221"/>
    </row>
    <row r="16" spans="1:23">
      <c r="A16" s="224" t="s">
        <v>139</v>
      </c>
      <c r="B16" s="86" t="s">
        <v>140</v>
      </c>
      <c r="C16" s="126"/>
      <c r="D16" s="13"/>
      <c r="E16" s="252"/>
      <c r="F16" s="13"/>
      <c r="G16" s="9">
        <f t="shared" si="0"/>
        <v>0</v>
      </c>
      <c r="H16" s="1"/>
      <c r="I16" s="229"/>
      <c r="J16" s="359" t="s">
        <v>50</v>
      </c>
      <c r="K16" s="360">
        <v>12399.33</v>
      </c>
      <c r="W16" s="221"/>
    </row>
    <row r="17" spans="1:23">
      <c r="A17" s="219" t="s">
        <v>79</v>
      </c>
      <c r="B17" s="86" t="s">
        <v>80</v>
      </c>
      <c r="C17" s="126">
        <f>125+187.13+9+14*9+253.25+786.39</f>
        <v>1486.77</v>
      </c>
      <c r="D17" s="13"/>
      <c r="E17" s="145">
        <f>14+4+14+14+14+14+61.4+14+14+14+82.59+413.14</f>
        <v>673.13</v>
      </c>
      <c r="F17" s="83"/>
      <c r="G17" s="169">
        <f>C17+E17</f>
        <v>2159.9</v>
      </c>
      <c r="H17" s="89"/>
      <c r="J17" s="363" t="s">
        <v>53</v>
      </c>
      <c r="K17" s="364">
        <f>H9-G12</f>
        <v>12364.503561183201</v>
      </c>
      <c r="W17" s="221"/>
    </row>
    <row r="18" spans="1:23" ht="20.25" customHeight="1">
      <c r="A18" s="219"/>
      <c r="B18" s="86"/>
      <c r="C18" s="126"/>
      <c r="D18" s="83"/>
      <c r="E18" s="126"/>
      <c r="F18" s="83"/>
      <c r="G18" s="169"/>
      <c r="H18" s="89"/>
      <c r="J18" s="586" t="s">
        <v>141</v>
      </c>
      <c r="K18" s="580">
        <f>K17/W7</f>
        <v>26.011367542196698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324"/>
    </row>
    <row r="19" spans="1:23" ht="24" customHeight="1">
      <c r="A19" s="216" t="s">
        <v>82</v>
      </c>
      <c r="B19" s="5" t="s">
        <v>83</v>
      </c>
      <c r="C19" s="157">
        <f>C4-C5</f>
        <v>34886.690490836001</v>
      </c>
      <c r="D19" s="121">
        <f>C19/C4</f>
        <v>0.61204720159361403</v>
      </c>
      <c r="E19" s="157">
        <f>E4-E5</f>
        <v>-22591.624752019197</v>
      </c>
      <c r="F19" s="122">
        <f>E19/E4</f>
        <v>-3.2135978116701396</v>
      </c>
      <c r="G19" s="15">
        <f>G4-G5</f>
        <v>12295.065738816789</v>
      </c>
      <c r="H19" s="96">
        <f>G19/G4</f>
        <v>0.19202036262085215</v>
      </c>
      <c r="M19" s="29" t="s">
        <v>150</v>
      </c>
      <c r="N19" s="28" t="s">
        <v>151</v>
      </c>
      <c r="O19" s="154" t="s">
        <v>152</v>
      </c>
      <c r="P19" s="154" t="s">
        <v>153</v>
      </c>
      <c r="Q19" s="29" t="s">
        <v>154</v>
      </c>
      <c r="R19" s="29" t="s">
        <v>155</v>
      </c>
      <c r="S19" s="28"/>
      <c r="T19" s="28"/>
      <c r="U19" s="28"/>
      <c r="V19" s="28"/>
      <c r="W19" s="543" t="s">
        <v>49</v>
      </c>
    </row>
    <row r="20" spans="1:23" ht="14.25">
      <c r="A20" s="393" t="s">
        <v>142</v>
      </c>
      <c r="B20" s="339" t="s">
        <v>143</v>
      </c>
      <c r="C20" s="339"/>
      <c r="D20" s="339"/>
      <c r="E20" s="339"/>
      <c r="F20" s="339"/>
      <c r="G20" s="474">
        <f>K4-46240.38</f>
        <v>10759.620000000003</v>
      </c>
      <c r="H20" s="184">
        <f>G20/K4</f>
        <v>0.18876526315789477</v>
      </c>
      <c r="J20" s="649" t="s">
        <v>100</v>
      </c>
      <c r="K20" s="650"/>
      <c r="M20" s="66">
        <v>1</v>
      </c>
      <c r="N20" s="66">
        <v>2</v>
      </c>
      <c r="O20" s="66">
        <v>3</v>
      </c>
      <c r="P20" s="66">
        <v>4</v>
      </c>
      <c r="Q20" s="66">
        <v>5</v>
      </c>
      <c r="R20" s="66">
        <v>6</v>
      </c>
      <c r="S20" s="66">
        <v>7</v>
      </c>
      <c r="T20" s="66">
        <v>8</v>
      </c>
      <c r="U20" s="66">
        <v>9</v>
      </c>
      <c r="V20" s="66">
        <v>10</v>
      </c>
      <c r="W20" s="544"/>
    </row>
    <row r="21" spans="1:23">
      <c r="A21" s="225"/>
      <c r="B21" s="98"/>
      <c r="C21" s="98"/>
      <c r="D21" s="98"/>
      <c r="E21" s="98"/>
      <c r="F21" s="98"/>
      <c r="H21" s="99"/>
      <c r="J21" s="367" t="s">
        <v>50</v>
      </c>
      <c r="K21" s="368">
        <f>W6/K6</f>
        <v>9.8037161494366476</v>
      </c>
      <c r="M21" s="69">
        <f>W21/4</f>
        <v>1625</v>
      </c>
      <c r="N21" s="69">
        <f>M21</f>
        <v>1625</v>
      </c>
      <c r="O21" s="69">
        <f>M21</f>
        <v>1625</v>
      </c>
      <c r="P21" s="69">
        <f>M21</f>
        <v>1625</v>
      </c>
      <c r="Q21" s="69"/>
      <c r="R21" s="69"/>
      <c r="S21" s="69"/>
      <c r="T21" s="69"/>
      <c r="U21" s="69"/>
      <c r="V21" s="69"/>
      <c r="W21" s="326">
        <f>K26</f>
        <v>6500</v>
      </c>
    </row>
    <row r="22" spans="1:23" ht="21.75" customHeight="1">
      <c r="A22" s="395" t="s">
        <v>86</v>
      </c>
      <c r="B22" s="412" t="s">
        <v>144</v>
      </c>
      <c r="C22" s="587" t="s">
        <v>145</v>
      </c>
      <c r="D22" s="101"/>
      <c r="E22" s="101"/>
      <c r="F22" s="101"/>
      <c r="H22" s="99"/>
      <c r="J22" s="369" t="s">
        <v>53</v>
      </c>
      <c r="K22" s="370">
        <f>W7/K6</f>
        <v>9.3961257165447716</v>
      </c>
      <c r="M22" s="71">
        <v>2841</v>
      </c>
      <c r="N22" s="72"/>
      <c r="O22" s="72">
        <v>546.6</v>
      </c>
      <c r="P22" s="72">
        <v>593.5</v>
      </c>
      <c r="Q22" s="72">
        <f>1160+308.92+40</f>
        <v>1508.92</v>
      </c>
      <c r="R22" s="72">
        <f>215.99+240.48</f>
        <v>456.47</v>
      </c>
      <c r="S22" s="72"/>
      <c r="T22" s="72"/>
      <c r="U22" s="72"/>
      <c r="V22" s="72"/>
      <c r="W22" s="436">
        <f>M22+N22+O22+P22+Q22+R22+S22+T22+U22+V22</f>
        <v>5946.4900000000007</v>
      </c>
    </row>
    <row r="23" spans="1:23">
      <c r="A23" s="226" t="s">
        <v>88</v>
      </c>
      <c r="B23" s="449">
        <f>H6/G5</f>
        <v>0.51767679239763964</v>
      </c>
      <c r="C23" s="410">
        <f>(7013.12)/46240.38</f>
        <v>0.1516665736743513</v>
      </c>
      <c r="D23" s="103"/>
      <c r="E23" s="103"/>
      <c r="F23" s="103"/>
      <c r="H23" s="99"/>
      <c r="J23" s="365" t="s">
        <v>146</v>
      </c>
      <c r="K23" s="366">
        <f>K22*K18</f>
        <v>244.40607948573236</v>
      </c>
      <c r="W23" s="221"/>
    </row>
    <row r="24" spans="1:23">
      <c r="A24" s="227" t="s">
        <v>89</v>
      </c>
      <c r="B24" s="449">
        <f>H9/G5</f>
        <v>0.3256329836973117</v>
      </c>
      <c r="C24" s="410">
        <f>12399.33/46240.38</f>
        <v>0.26814939669613441</v>
      </c>
      <c r="D24" s="103"/>
      <c r="E24" s="103"/>
      <c r="F24" s="103"/>
      <c r="H24" s="99"/>
      <c r="W24" s="221"/>
    </row>
    <row r="25" spans="1:23" ht="27" customHeight="1">
      <c r="A25" s="489" t="s">
        <v>91</v>
      </c>
      <c r="B25" s="484">
        <f>H14/G5</f>
        <v>0.15669022390504847</v>
      </c>
      <c r="C25" s="381">
        <f>26827.92/46240.38</f>
        <v>0.5801838133683157</v>
      </c>
      <c r="D25" s="103"/>
      <c r="E25" s="103"/>
      <c r="F25" s="103"/>
      <c r="H25" s="99"/>
      <c r="J25" s="651" t="s">
        <v>90</v>
      </c>
      <c r="K25" s="652"/>
      <c r="W25" s="221"/>
    </row>
    <row r="26" spans="1:23">
      <c r="A26" s="229"/>
      <c r="H26" s="99"/>
      <c r="J26" s="359" t="s">
        <v>50</v>
      </c>
      <c r="K26" s="360">
        <v>6500</v>
      </c>
      <c r="W26" s="221"/>
    </row>
    <row r="27" spans="1:23">
      <c r="A27" s="229"/>
      <c r="H27" s="99"/>
      <c r="J27" s="363" t="s">
        <v>53</v>
      </c>
      <c r="K27" s="364">
        <f>G14+G15</f>
        <v>5946.46</v>
      </c>
      <c r="W27" s="221"/>
    </row>
    <row r="28" spans="1:23" ht="31.5" customHeight="1">
      <c r="A28" s="229"/>
      <c r="H28" s="99"/>
      <c r="J28" s="490" t="s">
        <v>147</v>
      </c>
      <c r="K28" s="366">
        <f>G14/W7</f>
        <v>8.3317134742821075</v>
      </c>
      <c r="W28" s="221"/>
    </row>
    <row r="29" spans="1:23">
      <c r="A29" s="229"/>
      <c r="H29" s="99"/>
      <c r="W29" s="221"/>
    </row>
    <row r="30" spans="1:23">
      <c r="A30" s="229"/>
      <c r="H30" s="99"/>
      <c r="J30" s="189" t="s">
        <v>92</v>
      </c>
      <c r="K30" s="136"/>
      <c r="W30" s="221"/>
    </row>
    <row r="31" spans="1:23" ht="30.75">
      <c r="A31" s="229"/>
      <c r="H31" s="99"/>
      <c r="J31" s="10" t="s">
        <v>93</v>
      </c>
      <c r="K31" s="136">
        <f>G8</f>
        <v>19073.849999999999</v>
      </c>
      <c r="W31" s="221"/>
    </row>
    <row r="32" spans="1:23">
      <c r="A32" s="229"/>
      <c r="H32" s="99"/>
      <c r="W32" s="221"/>
    </row>
    <row r="33" spans="1:23">
      <c r="A33" s="229"/>
      <c r="H33" s="99"/>
      <c r="J33" s="673" t="s">
        <v>94</v>
      </c>
      <c r="K33" s="673"/>
      <c r="W33" s="221"/>
    </row>
    <row r="34" spans="1:23">
      <c r="A34" s="229"/>
      <c r="J34" s="672">
        <v>45638</v>
      </c>
      <c r="K34" s="672"/>
      <c r="W34" s="221"/>
    </row>
    <row r="35" spans="1:23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2"/>
    </row>
    <row r="39" spans="1:23">
      <c r="B39" s="88"/>
      <c r="C39" s="88"/>
    </row>
    <row r="40" spans="1:23">
      <c r="B40" s="88"/>
      <c r="C40" s="88"/>
    </row>
    <row r="41" spans="1:23">
      <c r="B41" s="88"/>
      <c r="C41" s="88"/>
    </row>
    <row r="42" spans="1:23">
      <c r="B42" s="88"/>
      <c r="C42" s="88"/>
    </row>
  </sheetData>
  <mergeCells count="14">
    <mergeCell ref="J34:K34"/>
    <mergeCell ref="J15:K15"/>
    <mergeCell ref="M18:N18"/>
    <mergeCell ref="J20:K20"/>
    <mergeCell ref="J25:K25"/>
    <mergeCell ref="J33:K33"/>
    <mergeCell ref="B1:W1"/>
    <mergeCell ref="A2:H2"/>
    <mergeCell ref="J3:K3"/>
    <mergeCell ref="M3:N3"/>
    <mergeCell ref="J11:K11"/>
    <mergeCell ref="C3:D3"/>
    <mergeCell ref="E3:F3"/>
    <mergeCell ref="G3:H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DFDC22D5-2B59-4F36-B7F6-4596E59F4C8F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5C5A4C05-6DD6-47E3-B887-ACF648D8A777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3" operator="greaterThan" id="{30B6EF83-3554-4A68-AE88-CE0E78615714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3F70-A6F7-404E-86EA-F0804EAEAC5F}">
  <sheetPr>
    <pageSetUpPr fitToPage="1"/>
  </sheetPr>
  <dimension ref="A1:Y38"/>
  <sheetViews>
    <sheetView workbookViewId="0">
      <selection activeCell="G14" sqref="G14:G16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7" width="10.7109375" customWidth="1"/>
    <col min="8" max="8" width="10.140625" customWidth="1"/>
    <col min="9" max="10" width="10.7109375" customWidth="1"/>
    <col min="11" max="11" width="3.28515625" customWidth="1"/>
    <col min="12" max="12" width="19.140625" customWidth="1"/>
    <col min="13" max="13" width="15.42578125" customWidth="1" collapsed="1"/>
    <col min="14" max="17" width="10.7109375" customWidth="1"/>
    <col min="18" max="20" width="9.140625" customWidth="1"/>
    <col min="21" max="23" width="9.140625" hidden="1" customWidth="1" outlineLevel="1"/>
    <col min="24" max="24" width="9.140625" hidden="1" customWidth="1" outlineLevel="1" collapsed="1"/>
    <col min="25" max="25" width="11" customWidth="1" collapsed="1"/>
    <col min="26" max="26" width="12.7109375" customWidth="1"/>
  </cols>
  <sheetData>
    <row r="1" spans="1:25" ht="25.5" customHeight="1">
      <c r="A1" s="187" t="s">
        <v>156</v>
      </c>
      <c r="B1" s="677" t="s">
        <v>157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</row>
    <row r="2" spans="1:25" ht="18.75">
      <c r="A2" s="655" t="s">
        <v>30</v>
      </c>
      <c r="B2" s="656"/>
      <c r="C2" s="656"/>
      <c r="D2" s="656"/>
      <c r="E2" s="656"/>
      <c r="F2" s="656"/>
      <c r="G2" s="656"/>
      <c r="H2" s="656"/>
      <c r="I2" s="656"/>
      <c r="J2" s="657"/>
      <c r="K2" s="7"/>
      <c r="L2" s="491"/>
      <c r="M2" s="491"/>
      <c r="N2" s="491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7"/>
    </row>
    <row r="3" spans="1:25" ht="15.75" customHeight="1">
      <c r="A3" s="561"/>
      <c r="B3" s="562"/>
      <c r="C3" s="658" t="s">
        <v>158</v>
      </c>
      <c r="D3" s="659"/>
      <c r="E3" s="658" t="s">
        <v>129</v>
      </c>
      <c r="F3" s="659"/>
      <c r="G3" s="658" t="s">
        <v>130</v>
      </c>
      <c r="H3" s="659"/>
      <c r="I3" s="660" t="s">
        <v>36</v>
      </c>
      <c r="J3" s="661"/>
      <c r="K3" s="562"/>
      <c r="L3" s="670" t="s">
        <v>138</v>
      </c>
      <c r="M3" s="671"/>
      <c r="N3" s="563"/>
      <c r="O3" s="666" t="s">
        <v>13</v>
      </c>
      <c r="P3" s="667"/>
      <c r="Q3" s="564"/>
      <c r="R3" s="564"/>
      <c r="S3" s="564"/>
      <c r="T3" s="564"/>
      <c r="U3" s="564"/>
      <c r="V3" s="564"/>
      <c r="W3" s="564"/>
      <c r="X3" s="564"/>
      <c r="Y3" s="566"/>
    </row>
    <row r="4" spans="1:25" ht="16.5" customHeight="1">
      <c r="A4" s="216" t="s">
        <v>40</v>
      </c>
      <c r="B4" s="5" t="s">
        <v>41</v>
      </c>
      <c r="C4" s="77">
        <f>M4/4</f>
        <v>17875</v>
      </c>
      <c r="E4" s="77">
        <f>M4/4*3</f>
        <v>53625</v>
      </c>
      <c r="G4" s="301">
        <f>M5</f>
        <v>17228.250000000004</v>
      </c>
      <c r="I4" s="142">
        <f>E4+C4+G4</f>
        <v>88728.25</v>
      </c>
      <c r="J4" s="80"/>
      <c r="L4" s="349" t="s">
        <v>64</v>
      </c>
      <c r="M4" s="502">
        <f>31000+40500</f>
        <v>71500</v>
      </c>
      <c r="N4" s="110"/>
      <c r="O4" s="160" t="s">
        <v>159</v>
      </c>
      <c r="P4" s="188" t="s">
        <v>160</v>
      </c>
      <c r="Q4" s="487" t="s">
        <v>161</v>
      </c>
      <c r="R4" s="487" t="s">
        <v>152</v>
      </c>
      <c r="S4" s="160" t="s">
        <v>162</v>
      </c>
      <c r="T4" s="29" t="s">
        <v>163</v>
      </c>
      <c r="U4" s="29"/>
      <c r="V4" s="29"/>
      <c r="W4" s="29"/>
      <c r="X4" s="29"/>
      <c r="Y4" s="559" t="s">
        <v>49</v>
      </c>
    </row>
    <row r="5" spans="1:25" ht="30.75">
      <c r="A5" s="216" t="s">
        <v>51</v>
      </c>
      <c r="B5" s="5" t="s">
        <v>52</v>
      </c>
      <c r="C5" s="161">
        <f>C6+C7+C8+C9+C10+C11+C13+C14+C17+C15+C12</f>
        <v>23294.581923607599</v>
      </c>
      <c r="D5" s="5"/>
      <c r="E5" s="161">
        <f>E6+E7+E8+E9+E10+E11+E13+E14+E17+E15+E12</f>
        <v>35381.727887964</v>
      </c>
      <c r="F5" s="5"/>
      <c r="G5" s="161">
        <f>G6+G7+G8+G9+G10+G11+G13+G14+G17+G15+G12</f>
        <v>8473.6466814184005</v>
      </c>
      <c r="H5" s="5"/>
      <c r="I5" s="143">
        <f>I6+I7+I8+I9+I10+I11+I13+I14+I17+I15+I12+I18</f>
        <v>65943.978992989985</v>
      </c>
      <c r="J5" s="81"/>
      <c r="L5" s="399" t="s">
        <v>67</v>
      </c>
      <c r="M5" s="507">
        <f>9908.43+7863.01-543.19</f>
        <v>17228.250000000004</v>
      </c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542"/>
    </row>
    <row r="6" spans="1:25" ht="30.75">
      <c r="A6" s="217" t="s">
        <v>54</v>
      </c>
      <c r="B6" s="75" t="s">
        <v>55</v>
      </c>
      <c r="C6" s="259">
        <f>C38+566.67+350.03+484.96+3881.69+491.65+238.29+160.22+39.39+59.47+1378.82+224.18+7.44+88.75+67.53+255.48+90.9+442.73</f>
        <v>8828.1999999999989</v>
      </c>
      <c r="D6" s="13">
        <f>C6+C7+C8</f>
        <v>10577.179999999998</v>
      </c>
      <c r="E6" s="147">
        <f>118+104.7+146.58+194.59+16.8+62.82+67.5+17.46+25.7+93.8+206.8+331.93+59.95+30.78+23.25+57.46+31.99+53.37+162.83+46.05+17.4+99.45+57.88+140.94+568.34+10.3+500.95+1062.12+2.95+58.45+32.3+103.05+96</f>
        <v>4602.49</v>
      </c>
      <c r="F6" s="83">
        <f>E6+E7+E8</f>
        <v>7112.0599999999995</v>
      </c>
      <c r="G6" s="127">
        <f>24.98+174.93+26.76+36.95+57.49+5.55+96.33</f>
        <v>422.99</v>
      </c>
      <c r="H6" s="83">
        <f>G6+G7+G8</f>
        <v>2405.86</v>
      </c>
      <c r="I6" s="169">
        <f>C6+E6+G6</f>
        <v>13853.679999999998</v>
      </c>
      <c r="J6" s="84">
        <f>I6+I7+I8</f>
        <v>20095.099999999999</v>
      </c>
      <c r="L6" s="351" t="s">
        <v>71</v>
      </c>
      <c r="M6" s="352">
        <f>41+8.92+46.59+15.07</f>
        <v>111.58000000000001</v>
      </c>
      <c r="O6" s="40">
        <f>Y6/4</f>
        <v>248.18</v>
      </c>
      <c r="P6" s="40">
        <f>O6</f>
        <v>248.18</v>
      </c>
      <c r="Q6" s="40">
        <f>O6</f>
        <v>248.18</v>
      </c>
      <c r="R6" s="40">
        <f>O6</f>
        <v>248.18</v>
      </c>
      <c r="S6" s="40">
        <f>O6</f>
        <v>248.18</v>
      </c>
      <c r="T6" s="40"/>
      <c r="U6" s="41"/>
      <c r="V6" s="41"/>
      <c r="W6" s="41"/>
      <c r="X6" s="41"/>
      <c r="Y6" s="218">
        <f>398+594.72</f>
        <v>992.72</v>
      </c>
    </row>
    <row r="7" spans="1:25">
      <c r="A7" s="219" t="s">
        <v>56</v>
      </c>
      <c r="B7" s="86" t="s">
        <v>57</v>
      </c>
      <c r="C7" s="126">
        <v>1450</v>
      </c>
      <c r="D7" s="13"/>
      <c r="E7" s="147">
        <f>870+550+730+180</f>
        <v>2330</v>
      </c>
      <c r="F7" s="83"/>
      <c r="G7" s="127">
        <v>151.58000000000001</v>
      </c>
      <c r="H7" s="83"/>
      <c r="I7" s="169">
        <f t="shared" ref="I7:I8" si="0">C7+E7+G7</f>
        <v>3931.58</v>
      </c>
      <c r="J7" s="84"/>
      <c r="L7" s="353" t="s">
        <v>74</v>
      </c>
      <c r="M7" s="354" t="s">
        <v>75</v>
      </c>
      <c r="O7" s="49">
        <v>159.66999999999999</v>
      </c>
      <c r="P7" s="50">
        <f>54.03+28.32+40.37-6.5+157.72</f>
        <v>273.94</v>
      </c>
      <c r="Q7" s="50">
        <f>47.47+56.07+194.66</f>
        <v>298.2</v>
      </c>
      <c r="R7" s="50">
        <f>20.7+44.7+221.68</f>
        <v>287.08000000000004</v>
      </c>
      <c r="S7" s="50">
        <v>170.52</v>
      </c>
      <c r="T7" s="50">
        <f>64.63+67.68+69.37</f>
        <v>201.68</v>
      </c>
      <c r="U7" s="51"/>
      <c r="V7" s="51"/>
      <c r="W7" s="51"/>
      <c r="X7" s="51"/>
      <c r="Y7" s="325">
        <f>O7+P7+Q7+R7+S7+T7+U7+V7+W7+X7</f>
        <v>1391.0900000000001</v>
      </c>
    </row>
    <row r="8" spans="1:25">
      <c r="A8" s="220" t="s">
        <v>58</v>
      </c>
      <c r="B8" s="76" t="s">
        <v>59</v>
      </c>
      <c r="C8" s="18">
        <f>319.98/2+138.99</f>
        <v>298.98</v>
      </c>
      <c r="D8" s="14"/>
      <c r="E8" s="14">
        <v>179.57</v>
      </c>
      <c r="F8" s="88"/>
      <c r="G8" s="18">
        <f>1478.14+107.74+245.41</f>
        <v>1831.2900000000002</v>
      </c>
      <c r="H8" s="88"/>
      <c r="I8" s="169">
        <f t="shared" si="0"/>
        <v>2309.84</v>
      </c>
      <c r="J8" s="89"/>
      <c r="L8" s="355" t="s">
        <v>78</v>
      </c>
      <c r="M8" s="465">
        <v>13</v>
      </c>
      <c r="Y8" s="221"/>
    </row>
    <row r="9" spans="1:25">
      <c r="A9" s="217" t="s">
        <v>60</v>
      </c>
      <c r="B9" s="75" t="s">
        <v>61</v>
      </c>
      <c r="C9" s="257">
        <f>((30.72*15+38.55*14.5+47.43*13+97*13)-C13)*1.42</f>
        <v>1416.2582999999995</v>
      </c>
      <c r="D9" s="141">
        <f>C9+C10+C11+C13+C12</f>
        <v>5041.6319236075997</v>
      </c>
      <c r="E9" s="148">
        <f>(106.48+834.82+1063.11+1179.22+1686.47+1939.75)*1.42</f>
        <v>9669.9869999999992</v>
      </c>
      <c r="F9" s="128">
        <f>E9+E10+E11+E13+E12</f>
        <v>23910.977887964</v>
      </c>
      <c r="G9" s="257">
        <f>(581.36+540.55+100)*1.42</f>
        <v>1735.1121999999998</v>
      </c>
      <c r="H9" s="128">
        <f>G9+G10+G11+G13+G12</f>
        <v>4521.9566814184</v>
      </c>
      <c r="I9" s="21">
        <f>C9+E9+G9</f>
        <v>12821.357499999998</v>
      </c>
      <c r="J9" s="90">
        <f>I9+I10+I11+I13+I12</f>
        <v>32268.588992989997</v>
      </c>
      <c r="L9" s="357" t="s">
        <v>81</v>
      </c>
      <c r="M9" s="358">
        <v>12</v>
      </c>
      <c r="Y9" s="221"/>
    </row>
    <row r="10" spans="1:25">
      <c r="A10" s="219" t="s">
        <v>62</v>
      </c>
      <c r="B10" s="86" t="s">
        <v>63</v>
      </c>
      <c r="C10" s="126">
        <f>C9*0.2359</f>
        <v>334.0953329699999</v>
      </c>
      <c r="D10" s="13"/>
      <c r="E10" s="145">
        <f>E9*0.2359</f>
        <v>2281.1499332999997</v>
      </c>
      <c r="F10" s="83"/>
      <c r="G10" s="126">
        <f>G9*0.2359</f>
        <v>409.31296797999994</v>
      </c>
      <c r="H10" s="83"/>
      <c r="I10" s="21">
        <f t="shared" ref="I10:I11" si="1">C10+E10+G10</f>
        <v>3024.5582342499997</v>
      </c>
      <c r="J10" s="89"/>
      <c r="Y10" s="221"/>
    </row>
    <row r="11" spans="1:25">
      <c r="A11" s="219" t="s">
        <v>65</v>
      </c>
      <c r="B11" s="86" t="s">
        <v>66</v>
      </c>
      <c r="C11" s="126">
        <f>(C9+C10)*0.08</f>
        <v>140.02829063759995</v>
      </c>
      <c r="D11" s="13"/>
      <c r="E11" s="145">
        <f>(E9+E10)*0.08</f>
        <v>956.09095466399992</v>
      </c>
      <c r="F11" s="83"/>
      <c r="G11" s="126">
        <f>(G9+G10)*0.08</f>
        <v>171.55401343840001</v>
      </c>
      <c r="H11" s="83"/>
      <c r="I11" s="21">
        <f t="shared" si="1"/>
        <v>1267.6732587399999</v>
      </c>
      <c r="J11" s="89"/>
      <c r="L11" s="674" t="s">
        <v>85</v>
      </c>
      <c r="M11" s="675"/>
      <c r="Y11" s="221"/>
    </row>
    <row r="12" spans="1:25">
      <c r="A12" s="222" t="s">
        <v>68</v>
      </c>
      <c r="B12" s="92" t="s">
        <v>21</v>
      </c>
      <c r="C12" s="127">
        <f>(C4)*0.07</f>
        <v>1251.2500000000002</v>
      </c>
      <c r="D12" s="127"/>
      <c r="E12" s="127">
        <f t="shared" ref="E12:G12" si="2">(E4)*0.07</f>
        <v>3753.7500000000005</v>
      </c>
      <c r="F12" s="123"/>
      <c r="G12" s="127">
        <f t="shared" si="2"/>
        <v>1205.9775000000004</v>
      </c>
      <c r="H12" s="123"/>
      <c r="I12" s="22">
        <f t="shared" ref="I7:I17" si="3">C12+E12</f>
        <v>5005.0000000000009</v>
      </c>
      <c r="J12" s="89"/>
      <c r="L12" s="359" t="s">
        <v>50</v>
      </c>
      <c r="M12" s="360">
        <f>5803.46+7075.73</f>
        <v>12879.189999999999</v>
      </c>
      <c r="Y12" s="221"/>
    </row>
    <row r="13" spans="1:25">
      <c r="A13" s="219" t="s">
        <v>69</v>
      </c>
      <c r="B13" s="86" t="s">
        <v>70</v>
      </c>
      <c r="C13" s="130">
        <f>(4*7+10)*50</f>
        <v>1900</v>
      </c>
      <c r="D13" s="134"/>
      <c r="E13" s="150">
        <f>900+21*50+2*25*50+28*2*50</f>
        <v>7250</v>
      </c>
      <c r="F13" s="125"/>
      <c r="G13" s="130">
        <v>1000</v>
      </c>
      <c r="H13" s="125"/>
      <c r="I13" s="23">
        <f>C13+E13+G13</f>
        <v>10150</v>
      </c>
      <c r="J13" s="93"/>
      <c r="L13" s="361" t="s">
        <v>53</v>
      </c>
      <c r="M13" s="403">
        <f>I6+I7</f>
        <v>17785.259999999998</v>
      </c>
      <c r="Y13" s="221"/>
    </row>
    <row r="14" spans="1:25">
      <c r="A14" s="223" t="s">
        <v>72</v>
      </c>
      <c r="B14" s="75" t="s">
        <v>73</v>
      </c>
      <c r="C14" s="127">
        <v>5390.63</v>
      </c>
      <c r="D14" s="145">
        <f>C14+C17+C15</f>
        <v>7675.7699999999995</v>
      </c>
      <c r="E14" s="147">
        <v>1122.8399999999999</v>
      </c>
      <c r="F14" s="131">
        <f>E14+E17+E15</f>
        <v>4358.6899999999996</v>
      </c>
      <c r="G14" s="259">
        <f>336.45+151</f>
        <v>487.45</v>
      </c>
      <c r="H14" s="131">
        <f>G14+G17+G15</f>
        <v>1545.83</v>
      </c>
      <c r="I14" s="169">
        <f>C14+E14+G14</f>
        <v>7000.92</v>
      </c>
      <c r="J14" s="89">
        <f>I14+I17+I15+I18</f>
        <v>13580.29</v>
      </c>
      <c r="Y14" s="221"/>
    </row>
    <row r="15" spans="1:25">
      <c r="A15" s="224" t="s">
        <v>76</v>
      </c>
      <c r="B15" s="86" t="s">
        <v>77</v>
      </c>
      <c r="C15" s="127">
        <f>279.98+837.97</f>
        <v>1117.95</v>
      </c>
      <c r="D15" s="13"/>
      <c r="E15" s="133">
        <f>109.35+148.3+699.98</f>
        <v>957.63</v>
      </c>
      <c r="F15" s="83"/>
      <c r="G15" s="552">
        <f>544.3+8</f>
        <v>552.29999999999995</v>
      </c>
      <c r="H15" s="83"/>
      <c r="I15" s="169">
        <f t="shared" ref="I15:I17" si="4">C15+E15+G15</f>
        <v>2627.88</v>
      </c>
      <c r="J15" s="89"/>
      <c r="L15" s="651" t="s">
        <v>89</v>
      </c>
      <c r="M15" s="652"/>
      <c r="Y15" s="221"/>
    </row>
    <row r="16" spans="1:25">
      <c r="A16" s="224" t="s">
        <v>139</v>
      </c>
      <c r="B16" s="86" t="s">
        <v>140</v>
      </c>
      <c r="C16" s="126">
        <f>319.98/2+34.99+22.27+3.69+22.64+18.22+19+218+152+23.5+3+21.4+34.14+150+276.28+208.69+99.97</f>
        <v>1467.78</v>
      </c>
      <c r="D16" s="13"/>
      <c r="E16" s="252">
        <v>53</v>
      </c>
      <c r="F16" s="83"/>
      <c r="G16" s="552"/>
      <c r="H16" s="13"/>
      <c r="I16" s="169">
        <f t="shared" si="4"/>
        <v>1520.78</v>
      </c>
      <c r="J16" s="1"/>
      <c r="K16" s="229"/>
      <c r="L16" s="359" t="s">
        <v>50</v>
      </c>
      <c r="M16" s="360">
        <f>9465.28+13741.35</f>
        <v>23206.63</v>
      </c>
      <c r="Y16" s="221"/>
    </row>
    <row r="17" spans="1:25">
      <c r="A17" s="219" t="s">
        <v>79</v>
      </c>
      <c r="B17" s="86" t="s">
        <v>80</v>
      </c>
      <c r="C17" s="126">
        <f>25+226.55+3.2+15.56+6.89+6.41+99.76+8.62+5.75*2+125+79.6+167.1+392</f>
        <v>1167.19</v>
      </c>
      <c r="D17" s="13"/>
      <c r="E17" s="145">
        <f>12.49+10+110.78+25.1+2+229.75+1888.1</f>
        <v>2278.2199999999998</v>
      </c>
      <c r="F17" s="83"/>
      <c r="G17" s="126">
        <f>47.4+36.3+78.29+133.9+210.19</f>
        <v>506.08</v>
      </c>
      <c r="H17" s="83"/>
      <c r="I17" s="169">
        <f t="shared" si="4"/>
        <v>3951.49</v>
      </c>
      <c r="J17" s="89"/>
      <c r="L17" s="363" t="s">
        <v>53</v>
      </c>
      <c r="M17" s="434">
        <f>J9-I12</f>
        <v>27263.588992989997</v>
      </c>
      <c r="Y17" s="221"/>
    </row>
    <row r="18" spans="1:25" ht="20.25" customHeight="1">
      <c r="A18" s="219"/>
      <c r="B18" s="86"/>
      <c r="C18" s="126"/>
      <c r="D18" s="83"/>
      <c r="E18" s="126"/>
      <c r="F18" s="83"/>
      <c r="G18" s="126"/>
      <c r="H18" s="83"/>
      <c r="I18" s="169"/>
      <c r="J18" s="89"/>
      <c r="L18" s="511" t="s">
        <v>141</v>
      </c>
      <c r="M18" s="512">
        <f>M17/Y7</f>
        <v>19.598724017130447</v>
      </c>
      <c r="O18" s="631" t="s">
        <v>90</v>
      </c>
      <c r="P18" s="632"/>
      <c r="Q18" s="554"/>
      <c r="R18" s="554"/>
      <c r="S18" s="554"/>
      <c r="T18" s="554"/>
      <c r="U18" s="554"/>
      <c r="V18" s="554"/>
      <c r="W18" s="554"/>
      <c r="X18" s="554"/>
      <c r="Y18" s="324"/>
    </row>
    <row r="19" spans="1:25">
      <c r="A19" s="216" t="s">
        <v>82</v>
      </c>
      <c r="B19" s="5" t="s">
        <v>83</v>
      </c>
      <c r="C19" s="157">
        <f>C4-C5</f>
        <v>-5419.5819236075986</v>
      </c>
      <c r="D19" s="121">
        <f>C19/C4</f>
        <v>-0.30319339432769782</v>
      </c>
      <c r="E19" s="157">
        <f>E4-E5</f>
        <v>18243.272112036</v>
      </c>
      <c r="F19" s="122">
        <f>E19/E4</f>
        <v>0.34020087854612585</v>
      </c>
      <c r="G19" s="157">
        <f>G4-G5</f>
        <v>8754.6033185816032</v>
      </c>
      <c r="H19" s="122">
        <f>G19/G4</f>
        <v>0.50815395171196154</v>
      </c>
      <c r="I19" s="15">
        <f>I4-I5</f>
        <v>22784.271007010015</v>
      </c>
      <c r="J19" s="96">
        <f>I19/I4</f>
        <v>0.2567871112865408</v>
      </c>
      <c r="O19" s="160" t="s">
        <v>159</v>
      </c>
      <c r="P19" s="188" t="s">
        <v>160</v>
      </c>
      <c r="Q19" s="487" t="s">
        <v>161</v>
      </c>
      <c r="R19" s="487" t="s">
        <v>152</v>
      </c>
      <c r="S19" s="160" t="s">
        <v>162</v>
      </c>
      <c r="T19" s="29" t="s">
        <v>163</v>
      </c>
      <c r="U19" s="28"/>
      <c r="V19" s="28"/>
      <c r="W19" s="28"/>
      <c r="X19" s="28"/>
      <c r="Y19" s="543" t="s">
        <v>49</v>
      </c>
    </row>
    <row r="20" spans="1:25" ht="14.25">
      <c r="A20" s="393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494">
        <f>M4-23477.28-30628.18</f>
        <v>17394.54</v>
      </c>
      <c r="J20" s="184">
        <f>I20/M4</f>
        <v>0.24328027972027974</v>
      </c>
      <c r="L20" s="649" t="s">
        <v>100</v>
      </c>
      <c r="M20" s="650"/>
      <c r="O20" s="66">
        <v>1</v>
      </c>
      <c r="P20" s="66">
        <v>2</v>
      </c>
      <c r="Q20" s="66">
        <v>3</v>
      </c>
      <c r="R20" s="66">
        <v>4</v>
      </c>
      <c r="S20" s="66">
        <v>5</v>
      </c>
      <c r="T20" s="66">
        <v>6</v>
      </c>
      <c r="U20" s="66">
        <v>7</v>
      </c>
      <c r="V20" s="66">
        <v>8</v>
      </c>
      <c r="W20" s="66">
        <v>9</v>
      </c>
      <c r="X20" s="66">
        <v>10</v>
      </c>
      <c r="Y20" s="544"/>
    </row>
    <row r="21" spans="1:25">
      <c r="A21" s="225"/>
      <c r="B21" s="98"/>
      <c r="C21" s="98"/>
      <c r="D21" s="98"/>
      <c r="E21" s="98"/>
      <c r="F21" s="98"/>
      <c r="G21" s="98"/>
      <c r="H21" s="98"/>
      <c r="J21" s="99"/>
      <c r="L21" s="367" t="s">
        <v>50</v>
      </c>
      <c r="M21" s="368">
        <f>Y6/M6</f>
        <v>8.8969349345760875</v>
      </c>
      <c r="O21" s="69">
        <f>Y21/4</f>
        <v>1800</v>
      </c>
      <c r="P21" s="69">
        <f>O21</f>
        <v>1800</v>
      </c>
      <c r="Q21" s="69">
        <f>O21</f>
        <v>1800</v>
      </c>
      <c r="R21" s="69">
        <f>O21</f>
        <v>1800</v>
      </c>
      <c r="S21" s="69">
        <f>O21</f>
        <v>1800</v>
      </c>
      <c r="T21" s="69"/>
      <c r="U21" s="69"/>
      <c r="V21" s="69"/>
      <c r="W21" s="69"/>
      <c r="X21" s="69"/>
      <c r="Y21" s="326">
        <f>M26</f>
        <v>7200</v>
      </c>
    </row>
    <row r="22" spans="1:25" ht="30.75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G22" s="101"/>
      <c r="H22" s="101"/>
      <c r="J22" s="99"/>
      <c r="L22" s="369" t="s">
        <v>53</v>
      </c>
      <c r="M22" s="402">
        <f>Y7/M6</f>
        <v>12.46719842265639</v>
      </c>
      <c r="O22" s="71">
        <f>C14+C15</f>
        <v>6508.58</v>
      </c>
      <c r="P22" s="72">
        <v>1232</v>
      </c>
      <c r="Q22" s="72"/>
      <c r="R22" s="72">
        <v>148.30000000000001</v>
      </c>
      <c r="S22" s="72">
        <v>699.98</v>
      </c>
      <c r="T22" s="72">
        <f>336.45+544.3+8+151</f>
        <v>1039.75</v>
      </c>
      <c r="U22" s="72"/>
      <c r="V22" s="72"/>
      <c r="W22" s="72"/>
      <c r="X22" s="72"/>
      <c r="Y22" s="436">
        <f>O22+P22+Q22+R22+S22+T22+U22+V22+W22+X22</f>
        <v>9628.61</v>
      </c>
    </row>
    <row r="23" spans="1:25">
      <c r="A23" s="226" t="s">
        <v>88</v>
      </c>
      <c r="B23" s="449">
        <f>J6/I5</f>
        <v>0.30472986778878114</v>
      </c>
      <c r="C23" s="410">
        <f>(M12)/54105.46</f>
        <v>0.23803863787499449</v>
      </c>
      <c r="D23" s="103"/>
      <c r="E23" s="103"/>
      <c r="F23" s="103"/>
      <c r="G23" s="103"/>
      <c r="H23" s="103"/>
      <c r="J23" s="99"/>
      <c r="L23" s="365" t="s">
        <v>146</v>
      </c>
      <c r="M23" s="366">
        <f>M22*M18</f>
        <v>244.34118115244661</v>
      </c>
      <c r="Y23" s="221"/>
    </row>
    <row r="24" spans="1:25">
      <c r="A24" s="227" t="s">
        <v>89</v>
      </c>
      <c r="B24" s="449">
        <f>J9/I5</f>
        <v>0.48933336273839695</v>
      </c>
      <c r="C24" s="410">
        <f>(M16)/54105.46</f>
        <v>0.42891475278095781</v>
      </c>
      <c r="D24" s="103"/>
      <c r="E24" s="103"/>
      <c r="F24" s="103"/>
      <c r="G24" s="103"/>
      <c r="H24" s="103"/>
      <c r="J24" s="99"/>
      <c r="Y24" s="221"/>
    </row>
    <row r="25" spans="1:25" ht="26.25" customHeight="1">
      <c r="A25" s="489" t="s">
        <v>91</v>
      </c>
      <c r="B25" s="484">
        <f>J14/I5</f>
        <v>0.20593676947282208</v>
      </c>
      <c r="C25" s="381">
        <f>(7946.33+9811.1)/54105.46</f>
        <v>0.32820033320112241</v>
      </c>
      <c r="D25" s="103"/>
      <c r="E25" s="103"/>
      <c r="F25" s="103"/>
      <c r="G25" s="103"/>
      <c r="H25" s="103"/>
      <c r="J25" s="99"/>
      <c r="L25" s="651" t="s">
        <v>90</v>
      </c>
      <c r="M25" s="652"/>
      <c r="Y25" s="221"/>
    </row>
    <row r="26" spans="1:25" ht="27.75" customHeight="1">
      <c r="A26" s="229"/>
      <c r="J26" s="99"/>
      <c r="L26" s="359" t="s">
        <v>50</v>
      </c>
      <c r="M26" s="360">
        <f>3000+4200</f>
        <v>7200</v>
      </c>
      <c r="Y26" s="221"/>
    </row>
    <row r="27" spans="1:25">
      <c r="A27" s="229"/>
      <c r="J27" s="99"/>
      <c r="L27" s="363" t="s">
        <v>53</v>
      </c>
      <c r="M27" s="434">
        <f>I14+I15</f>
        <v>9628.7999999999993</v>
      </c>
      <c r="Y27" s="221"/>
    </row>
    <row r="28" spans="1:25" ht="30.75">
      <c r="A28" s="229"/>
      <c r="J28" s="99"/>
      <c r="L28" s="490" t="s">
        <v>147</v>
      </c>
      <c r="M28" s="366">
        <f>I14/Y7</f>
        <v>5.0326865982790467</v>
      </c>
      <c r="Y28" s="221"/>
    </row>
    <row r="29" spans="1:25">
      <c r="A29" s="229"/>
      <c r="J29" s="99"/>
      <c r="Y29" s="221"/>
    </row>
    <row r="30" spans="1:25" ht="24.75">
      <c r="A30" s="229"/>
      <c r="J30" s="99"/>
      <c r="L30" s="189" t="s">
        <v>92</v>
      </c>
      <c r="M30" s="136"/>
      <c r="Y30" s="221"/>
    </row>
    <row r="31" spans="1:25" ht="30.75">
      <c r="A31" s="229"/>
      <c r="J31" s="99"/>
      <c r="L31" s="10" t="s">
        <v>93</v>
      </c>
      <c r="M31" s="136">
        <f>I8</f>
        <v>2309.84</v>
      </c>
      <c r="Y31" s="221"/>
    </row>
    <row r="32" spans="1:25">
      <c r="A32" s="229"/>
      <c r="J32" s="99"/>
      <c r="Y32" s="221"/>
    </row>
    <row r="33" spans="1:25">
      <c r="A33" s="229"/>
      <c r="J33" s="99"/>
      <c r="L33" s="673" t="s">
        <v>94</v>
      </c>
      <c r="M33" s="673"/>
      <c r="Y33" s="221"/>
    </row>
    <row r="34" spans="1:25">
      <c r="A34" s="229"/>
      <c r="L34" s="676">
        <v>45636</v>
      </c>
      <c r="M34" s="672"/>
      <c r="Y34" s="221"/>
    </row>
    <row r="35" spans="1:25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2"/>
    </row>
    <row r="37" spans="1:25">
      <c r="K37" s="1"/>
    </row>
    <row r="38" spans="1:25">
      <c r="B38" t="s">
        <v>164</v>
      </c>
      <c r="C38" s="255">
        <f>C39+C40</f>
        <v>0</v>
      </c>
    </row>
  </sheetData>
  <mergeCells count="15">
    <mergeCell ref="L20:M20"/>
    <mergeCell ref="L25:M25"/>
    <mergeCell ref="L33:M33"/>
    <mergeCell ref="L34:M34"/>
    <mergeCell ref="B1:N1"/>
    <mergeCell ref="L3:M3"/>
    <mergeCell ref="O18:P18"/>
    <mergeCell ref="O3:P3"/>
    <mergeCell ref="L11:M11"/>
    <mergeCell ref="L15:M15"/>
    <mergeCell ref="A2:J2"/>
    <mergeCell ref="C3:D3"/>
    <mergeCell ref="E3:F3"/>
    <mergeCell ref="I3:J3"/>
    <mergeCell ref="G3:H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2D87634F-0B5E-4645-959A-DF49E2FE7655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M18</xm:sqref>
        </x14:conditionalFormatting>
        <x14:conditionalFormatting xmlns:xm="http://schemas.microsoft.com/office/excel/2006/main">
          <x14:cfRule type="cellIs" priority="2" operator="greaterThan" id="{183E8B5C-7FD0-41B7-9FD8-20C729221901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ellIs" priority="3" operator="greaterThan" id="{F9F16D0C-09D7-4165-A099-C96D34E3853A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4975-3047-41C3-A041-9E5E67974168}">
  <sheetPr>
    <tabColor theme="0"/>
    <pageSetUpPr fitToPage="1"/>
  </sheetPr>
  <dimension ref="A1:Y64"/>
  <sheetViews>
    <sheetView topLeftCell="A19" workbookViewId="0">
      <selection activeCell="J35" sqref="J35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0.7109375" customWidth="1"/>
    <col min="4" max="4" width="11.855468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22.140625" customWidth="1"/>
    <col min="11" max="11" width="14.7109375" customWidth="1" collapsed="1"/>
    <col min="12" max="12" width="5" customWidth="1"/>
    <col min="13" max="15" width="10.7109375" customWidth="1"/>
    <col min="16" max="16" width="10.28515625" customWidth="1"/>
    <col min="17" max="20" width="9.140625" hidden="1" customWidth="1" outlineLevel="1"/>
    <col min="21" max="21" width="2.85546875" hidden="1" customWidth="1" outlineLevel="1"/>
    <col min="22" max="22" width="9.140625" hidden="1" customWidth="1" outlineLevel="1" collapsed="1"/>
    <col min="23" max="23" width="12.85546875" customWidth="1" collapsed="1"/>
  </cols>
  <sheetData>
    <row r="1" spans="1:25" ht="25.5" customHeight="1">
      <c r="A1" s="187" t="s">
        <v>165</v>
      </c>
      <c r="B1" s="677" t="s">
        <v>166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</row>
    <row r="2" spans="1:25" ht="18.75">
      <c r="A2" s="655" t="s">
        <v>30</v>
      </c>
      <c r="B2" s="656"/>
      <c r="C2" s="656"/>
      <c r="D2" s="656"/>
      <c r="E2" s="656"/>
      <c r="F2" s="656"/>
      <c r="G2" s="656"/>
      <c r="H2" s="657"/>
      <c r="I2" s="7"/>
      <c r="J2" s="491"/>
      <c r="K2" s="491"/>
      <c r="L2" s="491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7"/>
    </row>
    <row r="3" spans="1:25" ht="15.75" customHeight="1">
      <c r="A3" s="561"/>
      <c r="B3" s="562"/>
      <c r="C3" s="658" t="s">
        <v>158</v>
      </c>
      <c r="D3" s="659"/>
      <c r="E3" s="658" t="s">
        <v>129</v>
      </c>
      <c r="F3" s="659"/>
      <c r="G3" s="660" t="s">
        <v>36</v>
      </c>
      <c r="H3" s="661"/>
      <c r="I3" s="562"/>
      <c r="J3" s="670" t="s">
        <v>138</v>
      </c>
      <c r="K3" s="671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6"/>
    </row>
    <row r="4" spans="1:25">
      <c r="A4" s="216" t="s">
        <v>40</v>
      </c>
      <c r="B4" s="5" t="s">
        <v>41</v>
      </c>
      <c r="C4" s="77">
        <f>K4/2</f>
        <v>41500</v>
      </c>
      <c r="E4" s="77">
        <f>K4/2</f>
        <v>41500</v>
      </c>
      <c r="G4" s="142">
        <f>E4+C4</f>
        <v>83000</v>
      </c>
      <c r="H4" s="80"/>
      <c r="J4" s="349" t="s">
        <v>64</v>
      </c>
      <c r="K4" s="502">
        <v>83000</v>
      </c>
      <c r="L4" s="110"/>
      <c r="M4" s="29" t="s">
        <v>167</v>
      </c>
      <c r="N4" s="28" t="s">
        <v>168</v>
      </c>
      <c r="O4" s="154" t="s">
        <v>169</v>
      </c>
      <c r="P4" s="154" t="s">
        <v>170</v>
      </c>
      <c r="Q4" s="29"/>
      <c r="R4" s="29"/>
      <c r="S4" s="29"/>
      <c r="T4" s="29"/>
      <c r="U4" s="29"/>
      <c r="V4" s="29"/>
      <c r="W4" s="559" t="s">
        <v>49</v>
      </c>
    </row>
    <row r="5" spans="1:25">
      <c r="A5" s="216" t="s">
        <v>51</v>
      </c>
      <c r="B5" s="5" t="s">
        <v>52</v>
      </c>
      <c r="C5" s="161">
        <f>C6+C7+C8+C9+C10+C11+C13+C14+C17+C15+C12</f>
        <v>26783.315732406398</v>
      </c>
      <c r="D5" s="5"/>
      <c r="E5" s="161">
        <f>E6+E7+E8+E9+E10+E11+E13+E14+E17+E15+E12</f>
        <v>33270.915126191205</v>
      </c>
      <c r="F5" s="5"/>
      <c r="G5" s="143">
        <f>G6+G7+G8+G9+G10+G11+G13+G14+G17+G15+G12+G18</f>
        <v>60054.230858597613</v>
      </c>
      <c r="H5" s="81"/>
      <c r="J5" s="399" t="s">
        <v>67</v>
      </c>
      <c r="K5" s="507"/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542"/>
    </row>
    <row r="6" spans="1:25">
      <c r="A6" s="217" t="s">
        <v>54</v>
      </c>
      <c r="B6" s="75" t="s">
        <v>55</v>
      </c>
      <c r="C6" s="127">
        <f>1774.01+198.91+193.28+238.59+1848.36+101.7+79.78+260.47+103.44+159.4+131.79+191.03</f>
        <v>5280.7599999999993</v>
      </c>
      <c r="D6" s="13">
        <f>C6+C7+C8</f>
        <v>7498.8099999999995</v>
      </c>
      <c r="E6" s="147">
        <f>121.42+40.74+21.47+18.98+33.8+233.43+14.95+20.88+23.99+257.85</f>
        <v>787.51</v>
      </c>
      <c r="F6" s="83">
        <f>E6+E7+E8</f>
        <v>19686.350000000002</v>
      </c>
      <c r="G6" s="169">
        <f>C6+E6</f>
        <v>6068.2699999999995</v>
      </c>
      <c r="H6" s="84">
        <f>G6+G7+G8</f>
        <v>27185.16</v>
      </c>
      <c r="J6" s="351" t="s">
        <v>71</v>
      </c>
      <c r="K6" s="352">
        <f>66.3+16.03</f>
        <v>82.33</v>
      </c>
      <c r="M6" s="40">
        <f>W6/4</f>
        <v>206.5</v>
      </c>
      <c r="N6" s="40">
        <f>M6</f>
        <v>206.5</v>
      </c>
      <c r="O6" s="40">
        <f>M6</f>
        <v>206.5</v>
      </c>
      <c r="P6" s="40">
        <f>M6</f>
        <v>206.5</v>
      </c>
      <c r="Q6" s="40">
        <f>M6</f>
        <v>206.5</v>
      </c>
      <c r="R6" s="40"/>
      <c r="S6" s="41"/>
      <c r="T6" s="41"/>
      <c r="U6" s="41"/>
      <c r="V6" s="41"/>
      <c r="W6" s="218">
        <v>826</v>
      </c>
    </row>
    <row r="7" spans="1:25">
      <c r="A7" s="219" t="s">
        <v>56</v>
      </c>
      <c r="B7" s="86" t="s">
        <v>57</v>
      </c>
      <c r="C7" s="126">
        <f>950+790</f>
        <v>1740</v>
      </c>
      <c r="D7" s="13"/>
      <c r="E7" s="133">
        <f>220+250.94</f>
        <v>470.94</v>
      </c>
      <c r="F7" s="83"/>
      <c r="G7" s="169">
        <f t="shared" ref="G7:G17" si="0">C7+E7</f>
        <v>2210.94</v>
      </c>
      <c r="H7" s="84"/>
      <c r="J7" s="353" t="s">
        <v>74</v>
      </c>
      <c r="K7" s="354" t="s">
        <v>75</v>
      </c>
      <c r="M7" s="49">
        <f>213.9+54.22</f>
        <v>268.12</v>
      </c>
      <c r="N7" s="50">
        <f>213+59.2</f>
        <v>272.2</v>
      </c>
      <c r="O7" s="50">
        <f>38.5+9.67+22+48.93+116+8.87</f>
        <v>243.97</v>
      </c>
      <c r="P7" s="50">
        <f>56.88</f>
        <v>56.88</v>
      </c>
      <c r="Q7" s="50"/>
      <c r="R7" s="50"/>
      <c r="S7" s="51"/>
      <c r="T7" s="51"/>
      <c r="U7" s="51"/>
      <c r="V7" s="51"/>
      <c r="W7" s="325">
        <f>M7+N7+O7+P7+Q7+R7+S7+T7+U7+V7</f>
        <v>841.17</v>
      </c>
      <c r="Y7" s="1"/>
    </row>
    <row r="8" spans="1:25">
      <c r="A8" s="220" t="s">
        <v>58</v>
      </c>
      <c r="B8" s="76" t="s">
        <v>59</v>
      </c>
      <c r="C8" s="18">
        <v>478.05</v>
      </c>
      <c r="D8" s="14"/>
      <c r="E8" s="14">
        <f>2822.9+956.1+478.05+12120.85+797+1253</f>
        <v>18427.900000000001</v>
      </c>
      <c r="F8" s="88"/>
      <c r="G8" s="169">
        <f t="shared" si="0"/>
        <v>18905.95</v>
      </c>
      <c r="H8" s="89"/>
      <c r="J8" s="355" t="s">
        <v>78</v>
      </c>
      <c r="K8" s="465">
        <v>13</v>
      </c>
      <c r="W8" s="221"/>
    </row>
    <row r="9" spans="1:25">
      <c r="A9" s="217" t="s">
        <v>60</v>
      </c>
      <c r="B9" s="75" t="s">
        <v>61</v>
      </c>
      <c r="C9" s="257">
        <f>((123.08*16+9.53*15+236.03*14.5+101.55*14+118.37*13.5)-C13)*1.42</f>
        <v>6467.1912000000002</v>
      </c>
      <c r="D9" s="141">
        <f>C9+C10+C11+C13+C12</f>
        <v>15537.225732406401</v>
      </c>
      <c r="E9" s="249">
        <f>(352+685.02+2581.5+250+128.61-E13)*1.42</f>
        <v>2693.9245999999998</v>
      </c>
      <c r="F9" s="128">
        <f>E9+E10+E11+E13+E12</f>
        <v>8600.7751261911999</v>
      </c>
      <c r="G9" s="21">
        <f t="shared" si="0"/>
        <v>9161.1157999999996</v>
      </c>
      <c r="H9" s="90">
        <f>G9+G10+G11+G13+G12</f>
        <v>24138.000858597599</v>
      </c>
      <c r="J9" s="357" t="s">
        <v>81</v>
      </c>
      <c r="K9" s="358">
        <v>12</v>
      </c>
      <c r="W9" s="221"/>
    </row>
    <row r="10" spans="1:25">
      <c r="A10" s="219" t="s">
        <v>62</v>
      </c>
      <c r="B10" s="86" t="s">
        <v>63</v>
      </c>
      <c r="C10" s="126">
        <f>C9*0.2359</f>
        <v>1525.6104040800001</v>
      </c>
      <c r="D10" s="13"/>
      <c r="E10" s="145">
        <f>E9*0.2359</f>
        <v>635.49681313999997</v>
      </c>
      <c r="F10" s="83"/>
      <c r="G10" s="22">
        <f t="shared" si="0"/>
        <v>2161.1072172200002</v>
      </c>
      <c r="H10" s="89"/>
      <c r="W10" s="221"/>
      <c r="Y10" s="1"/>
    </row>
    <row r="11" spans="1:25">
      <c r="A11" s="219" t="s">
        <v>65</v>
      </c>
      <c r="B11" s="86" t="s">
        <v>66</v>
      </c>
      <c r="C11" s="126">
        <f>(C9+C10)*0.08</f>
        <v>639.42412832640002</v>
      </c>
      <c r="D11" s="13"/>
      <c r="E11" s="145">
        <f>(E9+E10)*0.08</f>
        <v>266.35371305119997</v>
      </c>
      <c r="F11" s="83"/>
      <c r="G11" s="22">
        <f t="shared" si="0"/>
        <v>905.7778413776</v>
      </c>
      <c r="H11" s="89"/>
      <c r="J11" s="674" t="s">
        <v>85</v>
      </c>
      <c r="K11" s="675"/>
      <c r="W11" s="221"/>
    </row>
    <row r="12" spans="1:25">
      <c r="A12" s="222" t="s">
        <v>68</v>
      </c>
      <c r="B12" s="92" t="s">
        <v>21</v>
      </c>
      <c r="C12" s="127">
        <f>(C4)*0.07</f>
        <v>2905.0000000000005</v>
      </c>
      <c r="D12" s="127"/>
      <c r="E12" s="127">
        <f t="shared" ref="E12" si="1">(E4)*0.07</f>
        <v>2905.0000000000005</v>
      </c>
      <c r="F12" s="123"/>
      <c r="G12" s="22">
        <f t="shared" si="0"/>
        <v>5810.0000000000009</v>
      </c>
      <c r="H12" s="89"/>
      <c r="J12" s="359" t="s">
        <v>50</v>
      </c>
      <c r="K12" s="360">
        <v>8093.49</v>
      </c>
      <c r="W12" s="221"/>
    </row>
    <row r="13" spans="1:25">
      <c r="A13" s="219" t="s">
        <v>69</v>
      </c>
      <c r="B13" s="86" t="s">
        <v>70</v>
      </c>
      <c r="C13" s="130">
        <f>(5*15+3-2+4)*50</f>
        <v>4000</v>
      </c>
      <c r="D13" s="134"/>
      <c r="E13" s="150">
        <f>150+50*7+400+1200</f>
        <v>2100</v>
      </c>
      <c r="F13" s="125"/>
      <c r="G13" s="23">
        <f t="shared" si="0"/>
        <v>6100</v>
      </c>
      <c r="H13" s="93"/>
      <c r="J13" s="361" t="s">
        <v>53</v>
      </c>
      <c r="K13" s="403">
        <f>G6+G7</f>
        <v>8279.2099999999991</v>
      </c>
      <c r="W13" s="221"/>
      <c r="Y13" s="1"/>
    </row>
    <row r="14" spans="1:25">
      <c r="A14" s="223" t="s">
        <v>72</v>
      </c>
      <c r="B14" s="75" t="s">
        <v>73</v>
      </c>
      <c r="C14" s="127">
        <f>2339.08</f>
        <v>2339.08</v>
      </c>
      <c r="D14" s="145">
        <f>C14+C17+C15</f>
        <v>3747.2799999999997</v>
      </c>
      <c r="E14" s="250">
        <f>80+95</f>
        <v>175</v>
      </c>
      <c r="F14" s="131">
        <f>E14+E17+E15</f>
        <v>4983.7900000000009</v>
      </c>
      <c r="G14" s="169">
        <f t="shared" si="0"/>
        <v>2514.08</v>
      </c>
      <c r="H14" s="89">
        <f>G14+G17+G15+G18</f>
        <v>8731.07</v>
      </c>
      <c r="W14" s="221"/>
    </row>
    <row r="15" spans="1:25">
      <c r="A15" s="224" t="s">
        <v>76</v>
      </c>
      <c r="B15" s="86" t="s">
        <v>77</v>
      </c>
      <c r="C15" s="127">
        <f>232.99+466.45+70.23+111.72</f>
        <v>881.3900000000001</v>
      </c>
      <c r="D15" s="13"/>
      <c r="E15" s="252">
        <f>66.81+117.71</f>
        <v>184.51999999999998</v>
      </c>
      <c r="F15" s="83"/>
      <c r="G15" s="169">
        <f t="shared" si="0"/>
        <v>1065.9100000000001</v>
      </c>
      <c r="H15" s="89"/>
      <c r="J15" s="651" t="s">
        <v>89</v>
      </c>
      <c r="K15" s="652"/>
      <c r="W15" s="221"/>
    </row>
    <row r="16" spans="1:25">
      <c r="A16" s="224" t="s">
        <v>139</v>
      </c>
      <c r="B16" s="86" t="s">
        <v>140</v>
      </c>
      <c r="C16" s="126">
        <v>60.48</v>
      </c>
      <c r="D16" s="13"/>
      <c r="E16" s="252">
        <f>113.79+27.9+60+27+43.2+19.91+42.36+22.36+20.09+392.51+35.47</f>
        <v>804.59</v>
      </c>
      <c r="F16" s="13"/>
      <c r="G16" s="9">
        <f t="shared" si="0"/>
        <v>865.07</v>
      </c>
      <c r="H16" s="1"/>
      <c r="I16" s="229"/>
      <c r="J16" s="359" t="s">
        <v>50</v>
      </c>
      <c r="K16" s="360">
        <v>20641.849999999999</v>
      </c>
      <c r="W16" s="221"/>
    </row>
    <row r="17" spans="1:23">
      <c r="A17" s="219" t="s">
        <v>79</v>
      </c>
      <c r="B17" s="86" t="s">
        <v>80</v>
      </c>
      <c r="C17" s="126">
        <f>125+253.31+11.55+11.57+88.85+25+11.53</f>
        <v>526.80999999999995</v>
      </c>
      <c r="D17" s="13"/>
      <c r="E17" s="145">
        <f>11.53+11.49+93.08+9+152+156+232.38+125+2559.12+1274.67</f>
        <v>4624.2700000000004</v>
      </c>
      <c r="F17" s="83"/>
      <c r="G17" s="169">
        <f>C17+E17</f>
        <v>5151.08</v>
      </c>
      <c r="H17" s="89"/>
      <c r="J17" s="363" t="s">
        <v>53</v>
      </c>
      <c r="K17" s="364">
        <f>H9-G12</f>
        <v>18328.000858597599</v>
      </c>
      <c r="W17" s="221"/>
    </row>
    <row r="18" spans="1:23" ht="20.25" customHeight="1">
      <c r="A18" s="219"/>
      <c r="B18" s="86"/>
      <c r="C18" s="126"/>
      <c r="D18" s="83"/>
      <c r="E18" s="126"/>
      <c r="F18" s="83"/>
      <c r="G18" s="169"/>
      <c r="H18" s="89"/>
      <c r="J18" s="511" t="s">
        <v>141</v>
      </c>
      <c r="K18" s="580">
        <f>K17/W7</f>
        <v>21.788700094627245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324"/>
    </row>
    <row r="19" spans="1:23" ht="24" customHeight="1">
      <c r="A19" s="216" t="s">
        <v>82</v>
      </c>
      <c r="B19" s="5" t="s">
        <v>83</v>
      </c>
      <c r="C19" s="157">
        <f>C4-C5</f>
        <v>14716.684267593602</v>
      </c>
      <c r="D19" s="121">
        <f>C19/C4</f>
        <v>0.35461889801430369</v>
      </c>
      <c r="E19" s="157">
        <f>E4-E5</f>
        <v>8229.0848738087952</v>
      </c>
      <c r="F19" s="122">
        <f>E19/E4</f>
        <v>0.19829120177852519</v>
      </c>
      <c r="G19" s="15">
        <f>G4-G5</f>
        <v>22945.769141402387</v>
      </c>
      <c r="H19" s="96">
        <f>G19/G4</f>
        <v>0.27645504989641428</v>
      </c>
      <c r="M19" s="29" t="s">
        <v>167</v>
      </c>
      <c r="N19" s="28" t="s">
        <v>168</v>
      </c>
      <c r="O19" s="154" t="s">
        <v>169</v>
      </c>
      <c r="P19" s="154" t="s">
        <v>170</v>
      </c>
      <c r="Q19" s="29"/>
      <c r="R19" s="29"/>
      <c r="S19" s="28"/>
      <c r="T19" s="28"/>
      <c r="U19" s="28"/>
      <c r="V19" s="28"/>
      <c r="W19" s="543" t="s">
        <v>49</v>
      </c>
    </row>
    <row r="20" spans="1:23" ht="14.25">
      <c r="A20" s="393" t="s">
        <v>142</v>
      </c>
      <c r="B20" s="339" t="s">
        <v>143</v>
      </c>
      <c r="C20" s="339"/>
      <c r="D20" s="339"/>
      <c r="E20" s="339"/>
      <c r="F20" s="339"/>
      <c r="G20" s="494">
        <f>K4-61896.21</f>
        <v>21103.79</v>
      </c>
      <c r="H20" s="184">
        <f>G20/K4</f>
        <v>0.25426253012048194</v>
      </c>
      <c r="J20" s="649" t="s">
        <v>100</v>
      </c>
      <c r="K20" s="650"/>
      <c r="M20" s="66">
        <v>1</v>
      </c>
      <c r="N20" s="66">
        <v>2</v>
      </c>
      <c r="O20" s="66">
        <v>3</v>
      </c>
      <c r="P20" s="66">
        <v>4</v>
      </c>
      <c r="Q20" s="66">
        <v>5</v>
      </c>
      <c r="R20" s="66">
        <v>6</v>
      </c>
      <c r="S20" s="66">
        <v>7</v>
      </c>
      <c r="T20" s="66">
        <v>8</v>
      </c>
      <c r="U20" s="66">
        <v>9</v>
      </c>
      <c r="V20" s="66">
        <v>10</v>
      </c>
      <c r="W20" s="544"/>
    </row>
    <row r="21" spans="1:23">
      <c r="A21" s="225"/>
      <c r="B21" s="98"/>
      <c r="C21" s="98"/>
      <c r="D21" s="98"/>
      <c r="E21" s="98"/>
      <c r="F21" s="98"/>
      <c r="H21" s="99"/>
      <c r="J21" s="367" t="s">
        <v>50</v>
      </c>
      <c r="K21" s="368">
        <f>W6/K6</f>
        <v>10.032794849993927</v>
      </c>
      <c r="M21" s="69">
        <f>W21/4</f>
        <v>1687.5</v>
      </c>
      <c r="N21" s="69">
        <f>M21</f>
        <v>1687.5</v>
      </c>
      <c r="O21" s="69">
        <f>M21</f>
        <v>1687.5</v>
      </c>
      <c r="P21" s="69">
        <f>M21</f>
        <v>1687.5</v>
      </c>
      <c r="Q21" s="69">
        <f>M21</f>
        <v>1687.5</v>
      </c>
      <c r="R21" s="69"/>
      <c r="S21" s="69"/>
      <c r="T21" s="69"/>
      <c r="U21" s="69"/>
      <c r="V21" s="69"/>
      <c r="W21" s="326">
        <f>K26</f>
        <v>6750</v>
      </c>
    </row>
    <row r="22" spans="1:23" ht="30.75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370">
        <f>W7/K6</f>
        <v>10.217053321996842</v>
      </c>
      <c r="M22" s="71">
        <f>C14+C15</f>
        <v>3220.4700000000003</v>
      </c>
      <c r="N22" s="72"/>
      <c r="O22" s="72">
        <f>80+66.81</f>
        <v>146.81</v>
      </c>
      <c r="P22" s="72">
        <f>117.71+95</f>
        <v>212.70999999999998</v>
      </c>
      <c r="Q22" s="72"/>
      <c r="R22" s="72"/>
      <c r="S22" s="72"/>
      <c r="T22" s="72"/>
      <c r="U22" s="72"/>
      <c r="V22" s="72"/>
      <c r="W22" s="436">
        <f>M22+N22+O22+P22+Q22+R22+S22+T22+U22+V22</f>
        <v>3579.9900000000002</v>
      </c>
    </row>
    <row r="23" spans="1:23">
      <c r="A23" s="226" t="s">
        <v>88</v>
      </c>
      <c r="B23" s="449">
        <f>H6/G5</f>
        <v>0.45267684909677031</v>
      </c>
      <c r="C23" s="410">
        <f>(8093.49)/61896.21</f>
        <v>0.13075905616838251</v>
      </c>
      <c r="D23" s="103"/>
      <c r="E23" s="103"/>
      <c r="F23" s="103"/>
      <c r="H23" s="99"/>
      <c r="J23" s="365" t="s">
        <v>146</v>
      </c>
      <c r="K23" s="366">
        <f>K22*K18</f>
        <v>222.61631068380419</v>
      </c>
      <c r="W23" s="221"/>
    </row>
    <row r="24" spans="1:23">
      <c r="A24" s="227" t="s">
        <v>89</v>
      </c>
      <c r="B24" s="449">
        <f>H9/G5</f>
        <v>0.40193672474854286</v>
      </c>
      <c r="C24" s="410">
        <f>20641.85/61896.21</f>
        <v>0.33349133977670037</v>
      </c>
      <c r="D24" s="103"/>
      <c r="E24" s="103"/>
      <c r="F24" s="103"/>
      <c r="H24" s="99"/>
      <c r="W24" s="221"/>
    </row>
    <row r="25" spans="1:23" ht="27.75" customHeight="1">
      <c r="A25" s="489" t="s">
        <v>91</v>
      </c>
      <c r="B25" s="484">
        <f>H14/G5</f>
        <v>0.14538642615468655</v>
      </c>
      <c r="C25" s="381">
        <f>23685.87/61896.21</f>
        <v>0.38267076449430426</v>
      </c>
      <c r="D25" s="103"/>
      <c r="E25" s="103"/>
      <c r="F25" s="103"/>
      <c r="H25" s="99"/>
      <c r="J25" s="651" t="s">
        <v>90</v>
      </c>
      <c r="K25" s="652"/>
      <c r="W25" s="221"/>
    </row>
    <row r="26" spans="1:23" ht="27.75" customHeight="1">
      <c r="A26" s="229"/>
      <c r="H26" s="99"/>
      <c r="J26" s="359" t="s">
        <v>50</v>
      </c>
      <c r="K26" s="360">
        <v>6750</v>
      </c>
      <c r="W26" s="221"/>
    </row>
    <row r="27" spans="1:23">
      <c r="A27" s="229"/>
      <c r="H27" s="99"/>
      <c r="J27" s="363" t="s">
        <v>53</v>
      </c>
      <c r="K27" s="364">
        <f>G14+G15</f>
        <v>3579.99</v>
      </c>
      <c r="W27" s="221"/>
    </row>
    <row r="28" spans="1:23" ht="30.75">
      <c r="A28" s="229"/>
      <c r="H28" s="99"/>
      <c r="J28" s="490" t="s">
        <v>147</v>
      </c>
      <c r="K28" s="366">
        <f>G14/W7</f>
        <v>2.9887894242543127</v>
      </c>
      <c r="W28" s="221"/>
    </row>
    <row r="29" spans="1:23">
      <c r="A29" s="229"/>
      <c r="H29" s="99"/>
      <c r="W29" s="221"/>
    </row>
    <row r="30" spans="1:23" ht="24.75">
      <c r="A30" s="229"/>
      <c r="H30" s="99"/>
      <c r="J30" s="189" t="s">
        <v>92</v>
      </c>
      <c r="K30" s="136"/>
      <c r="W30" s="221"/>
    </row>
    <row r="31" spans="1:23" ht="45.75">
      <c r="A31" s="229"/>
      <c r="H31" s="99"/>
      <c r="J31" s="10" t="s">
        <v>93</v>
      </c>
      <c r="K31" s="136">
        <f>G8</f>
        <v>18905.95</v>
      </c>
      <c r="W31" s="221"/>
    </row>
    <row r="32" spans="1:23">
      <c r="A32" s="229"/>
      <c r="H32" s="99"/>
      <c r="W32" s="221"/>
    </row>
    <row r="33" spans="1:23">
      <c r="A33" s="229"/>
      <c r="H33" s="99"/>
      <c r="J33" s="673" t="s">
        <v>94</v>
      </c>
      <c r="K33" s="673"/>
      <c r="W33" s="221"/>
    </row>
    <row r="34" spans="1:23">
      <c r="A34" s="229"/>
      <c r="J34" s="672">
        <v>45691</v>
      </c>
      <c r="K34" s="672"/>
      <c r="W34" s="221"/>
    </row>
    <row r="35" spans="1:23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2"/>
    </row>
    <row r="37" spans="1:23">
      <c r="I37" s="1"/>
    </row>
    <row r="44" spans="1:23">
      <c r="A44" s="180"/>
    </row>
    <row r="45" spans="1:23">
      <c r="A45" s="180"/>
      <c r="B45" s="1"/>
      <c r="C45" s="1"/>
      <c r="D45" s="1"/>
      <c r="G45" s="1"/>
    </row>
    <row r="46" spans="1:23">
      <c r="A46" s="180"/>
      <c r="B46" s="1"/>
      <c r="C46" s="1"/>
    </row>
    <row r="47" spans="1:23">
      <c r="A47" s="179"/>
      <c r="D47" s="1"/>
    </row>
    <row r="48" spans="1:23">
      <c r="A48" s="179"/>
      <c r="D48" s="1"/>
    </row>
    <row r="49" spans="1:14">
      <c r="A49" s="179"/>
    </row>
    <row r="50" spans="1:14">
      <c r="D50" s="181"/>
    </row>
    <row r="51" spans="1:14">
      <c r="D51" s="1"/>
    </row>
    <row r="62" spans="1:14">
      <c r="N62" s="179"/>
    </row>
    <row r="63" spans="1:14">
      <c r="N63" s="179"/>
    </row>
    <row r="64" spans="1:14">
      <c r="N64" s="179"/>
    </row>
  </sheetData>
  <mergeCells count="14">
    <mergeCell ref="M3:N3"/>
    <mergeCell ref="J11:K11"/>
    <mergeCell ref="J15:K15"/>
    <mergeCell ref="M18:N18"/>
    <mergeCell ref="A2:H2"/>
    <mergeCell ref="C3:D3"/>
    <mergeCell ref="E3:F3"/>
    <mergeCell ref="G3:H3"/>
    <mergeCell ref="J20:K20"/>
    <mergeCell ref="J25:K25"/>
    <mergeCell ref="J33:K33"/>
    <mergeCell ref="J34:K34"/>
    <mergeCell ref="B1:L1"/>
    <mergeCell ref="J3:K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31FAF4C4-F289-411D-B9FF-DB6A6A4AA965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0409E7E7-3CD8-46A6-A712-51B7F0940090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3" operator="greaterThan" id="{43E1D477-B6DF-4393-AEDB-CE2066B30A98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29DE-EA16-48E2-851B-5EEAE3281EE9}">
  <sheetPr>
    <pageSetUpPr fitToPage="1"/>
  </sheetPr>
  <dimension ref="A1:W66"/>
  <sheetViews>
    <sheetView workbookViewId="0">
      <selection activeCell="G5" sqref="G5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8" width="10.7109375" customWidth="1"/>
    <col min="9" max="9" width="3.28515625" customWidth="1"/>
    <col min="10" max="10" width="19.7109375" customWidth="1"/>
    <col min="11" max="11" width="10.7109375" customWidth="1"/>
    <col min="12" max="12" width="4.85546875" customWidth="1"/>
    <col min="13" max="15" width="10.7109375" customWidth="1"/>
    <col min="16" max="16" width="10.28515625" customWidth="1"/>
    <col min="17" max="17" width="9.140625" customWidth="1"/>
    <col min="18" max="20" width="9.140625" hidden="1" customWidth="1" outlineLevel="1"/>
    <col min="21" max="21" width="1.42578125" hidden="1" customWidth="1" outlineLevel="1"/>
    <col min="22" max="22" width="9.140625" hidden="1" customWidth="1" outlineLevel="1"/>
    <col min="23" max="23" width="10.28515625" customWidth="1" collapsed="1"/>
  </cols>
  <sheetData>
    <row r="1" spans="1:23" ht="25.5" customHeight="1">
      <c r="A1" s="187" t="s">
        <v>171</v>
      </c>
      <c r="B1" s="677" t="s">
        <v>172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</row>
    <row r="2" spans="1:23" ht="18.75">
      <c r="A2" s="655" t="s">
        <v>30</v>
      </c>
      <c r="B2" s="656"/>
      <c r="C2" s="656"/>
      <c r="D2" s="656"/>
      <c r="E2" s="656"/>
      <c r="F2" s="656"/>
      <c r="G2" s="656"/>
      <c r="H2" s="657"/>
      <c r="I2" s="7"/>
      <c r="J2" s="491"/>
      <c r="K2" s="491"/>
      <c r="L2" s="491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7"/>
    </row>
    <row r="3" spans="1:23" ht="15.75" customHeight="1">
      <c r="A3" s="561"/>
      <c r="B3" s="562"/>
      <c r="C3" s="658" t="s">
        <v>173</v>
      </c>
      <c r="D3" s="659"/>
      <c r="E3" s="658" t="s">
        <v>158</v>
      </c>
      <c r="F3" s="659"/>
      <c r="G3" s="660" t="s">
        <v>36</v>
      </c>
      <c r="H3" s="661"/>
      <c r="I3" s="562"/>
      <c r="J3" s="670" t="s">
        <v>138</v>
      </c>
      <c r="K3" s="671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6"/>
    </row>
    <row r="4" spans="1:23" ht="16.5" customHeight="1">
      <c r="A4" s="216" t="s">
        <v>40</v>
      </c>
      <c r="B4" s="5" t="s">
        <v>41</v>
      </c>
      <c r="C4" s="77">
        <f>K4/2</f>
        <v>44912.735000000001</v>
      </c>
      <c r="E4" s="77">
        <f>C4+K5</f>
        <v>47616.275000000001</v>
      </c>
      <c r="G4" s="142">
        <f>E4+C4</f>
        <v>92529.010000000009</v>
      </c>
      <c r="H4" s="80"/>
      <c r="J4" s="349" t="s">
        <v>64</v>
      </c>
      <c r="K4" s="502">
        <f>F43+F44</f>
        <v>89825.47</v>
      </c>
      <c r="L4" s="110"/>
      <c r="M4" s="29" t="s">
        <v>174</v>
      </c>
      <c r="N4" s="28" t="s">
        <v>175</v>
      </c>
      <c r="O4" s="154" t="s">
        <v>176</v>
      </c>
      <c r="P4" s="154" t="s">
        <v>177</v>
      </c>
      <c r="Q4" s="29"/>
      <c r="R4" s="29"/>
      <c r="S4" s="29"/>
      <c r="T4" s="29"/>
      <c r="U4" s="29"/>
      <c r="V4" s="29"/>
      <c r="W4" s="559" t="s">
        <v>49</v>
      </c>
    </row>
    <row r="5" spans="1:23" ht="30.75">
      <c r="A5" s="216" t="s">
        <v>51</v>
      </c>
      <c r="B5" s="5" t="s">
        <v>52</v>
      </c>
      <c r="C5" s="161">
        <f>C6+C7+C8+C9+C10+C11+C13+C14+C17+C15+C12</f>
        <v>33523.523442872</v>
      </c>
      <c r="D5" s="5"/>
      <c r="E5" s="161">
        <f>E6+E7+E8+E9+E10+E11+E13+E14+E17+E15+E12</f>
        <v>32200.253942882402</v>
      </c>
      <c r="F5" s="5"/>
      <c r="G5" s="143">
        <f>G6+G7+G8+G9+G10+G11+G13+G14+G17+G15+G12+G18</f>
        <v>65723.777385754394</v>
      </c>
      <c r="H5" s="81"/>
      <c r="J5" s="399" t="s">
        <v>67</v>
      </c>
      <c r="K5" s="400">
        <v>2703.54</v>
      </c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542"/>
    </row>
    <row r="6" spans="1:23">
      <c r="A6" s="217" t="s">
        <v>54</v>
      </c>
      <c r="B6" s="75" t="s">
        <v>55</v>
      </c>
      <c r="C6" s="127">
        <f>D39+2284.76+114.07+317+615.63+133.67+94.81+80.9+12.96+32.15+309.35+239.14+220.72+839.25+118.4+212.87+6.48+78.72+54.99+490.55+49.8+3.95+122.02+66.9+117.3+41.95+173.3+149.11</f>
        <v>6980.75</v>
      </c>
      <c r="D6" s="13">
        <f>C6+C7+C8</f>
        <v>9330.75</v>
      </c>
      <c r="E6" s="147">
        <f>417.56+17.3+330.3+114.86+44.71+13.38+15.95+39.3+11.99+7.63+87.48+15.4+13.08+92.76+36.44+138.5+17.9+62.3+45.24+44.92+20.94+4.39+12.09+46.05+211.97+41.95+34.44+27.5-212.22+20.99+72.7+145.43+44.5</f>
        <v>2037.7300000000005</v>
      </c>
      <c r="F6" s="83">
        <f>E6+E7+E8</f>
        <v>15541.68</v>
      </c>
      <c r="G6" s="169">
        <f>C6+E6</f>
        <v>9018.48</v>
      </c>
      <c r="H6" s="84">
        <f>G6+G7+G8</f>
        <v>24872.43</v>
      </c>
      <c r="J6" s="351" t="s">
        <v>71</v>
      </c>
      <c r="K6" s="352">
        <f>50.16+8.72+75.13+7.53</f>
        <v>141.54</v>
      </c>
      <c r="M6" s="40">
        <f>W6/5</f>
        <v>211.16</v>
      </c>
      <c r="N6" s="40">
        <f>M6</f>
        <v>211.16</v>
      </c>
      <c r="O6" s="40">
        <f>M6</f>
        <v>211.16</v>
      </c>
      <c r="P6" s="40">
        <f>M6</f>
        <v>211.16</v>
      </c>
      <c r="Q6" s="40">
        <f>M6</f>
        <v>211.16</v>
      </c>
      <c r="R6" s="40"/>
      <c r="S6" s="41"/>
      <c r="T6" s="41"/>
      <c r="U6" s="41"/>
      <c r="V6" s="41"/>
      <c r="W6" s="218">
        <f>394.74+661.06</f>
        <v>1055.8</v>
      </c>
    </row>
    <row r="7" spans="1:23" ht="24.75">
      <c r="A7" s="219" t="s">
        <v>56</v>
      </c>
      <c r="B7" s="86" t="s">
        <v>57</v>
      </c>
      <c r="C7" s="126">
        <v>850</v>
      </c>
      <c r="D7" s="13"/>
      <c r="E7" s="133">
        <v>850</v>
      </c>
      <c r="F7" s="83"/>
      <c r="G7" s="169">
        <f t="shared" ref="G7:G17" si="0">C7+E7</f>
        <v>1700</v>
      </c>
      <c r="H7" s="84"/>
      <c r="J7" s="353" t="s">
        <v>74</v>
      </c>
      <c r="K7" s="354" t="s">
        <v>75</v>
      </c>
      <c r="M7" s="49">
        <v>337</v>
      </c>
      <c r="N7" s="50">
        <v>319</v>
      </c>
      <c r="O7" s="50">
        <v>271.8</v>
      </c>
      <c r="P7" s="50">
        <v>180.18</v>
      </c>
      <c r="Q7" s="50"/>
      <c r="R7" s="50"/>
      <c r="S7" s="51"/>
      <c r="T7" s="51"/>
      <c r="U7" s="51"/>
      <c r="V7" s="51"/>
      <c r="W7" s="325">
        <f>M7+N7+O7+P7+Q7+R7+S7+T7+U7+V7</f>
        <v>1107.98</v>
      </c>
    </row>
    <row r="8" spans="1:23">
      <c r="A8" s="220" t="s">
        <v>58</v>
      </c>
      <c r="B8" s="76" t="s">
        <v>59</v>
      </c>
      <c r="C8" s="18">
        <v>1500</v>
      </c>
      <c r="D8" s="14"/>
      <c r="E8" s="14">
        <f>4190.77+542.13+583.56+5295.33+1733.83+308.33</f>
        <v>12653.95</v>
      </c>
      <c r="F8" s="88"/>
      <c r="G8" s="169">
        <f t="shared" si="0"/>
        <v>14153.95</v>
      </c>
      <c r="H8" s="89"/>
      <c r="J8" s="355" t="s">
        <v>78</v>
      </c>
      <c r="K8" s="465">
        <v>13</v>
      </c>
      <c r="W8" s="221"/>
    </row>
    <row r="9" spans="1:23">
      <c r="A9" s="217" t="s">
        <v>60</v>
      </c>
      <c r="B9" s="75" t="s">
        <v>61</v>
      </c>
      <c r="C9" s="257">
        <f>((1810.08+1948.95+1758.85+1735.76+6.5+847.86+1042.3+500)-C13)*1.42</f>
        <v>8165.4259999999986</v>
      </c>
      <c r="D9" s="141">
        <f>C9+C10+C11+C13+C12</f>
        <v>17942.873442871998</v>
      </c>
      <c r="E9" s="249">
        <f>((113.92*13.5+113.62*13+7.78*13.5+114.1*14.5+102.57*15)-E13)*1.42</f>
        <v>3852.4742000000001</v>
      </c>
      <c r="F9" s="128">
        <f>E9+E10+E11+E13+E12</f>
        <v>12075.3139428824</v>
      </c>
      <c r="G9" s="21">
        <f t="shared" si="0"/>
        <v>12017.900199999998</v>
      </c>
      <c r="H9" s="90">
        <f>G9+G10+G11+G13+G12</f>
        <v>30018.187385754398</v>
      </c>
      <c r="J9" s="357" t="s">
        <v>81</v>
      </c>
      <c r="K9" s="358">
        <v>12</v>
      </c>
      <c r="W9" s="221"/>
    </row>
    <row r="10" spans="1:23">
      <c r="A10" s="219" t="s">
        <v>62</v>
      </c>
      <c r="B10" s="86" t="s">
        <v>63</v>
      </c>
      <c r="C10" s="126">
        <f>C9*0.2359</f>
        <v>1926.2239933999997</v>
      </c>
      <c r="D10" s="13"/>
      <c r="E10" s="145">
        <f>E9*0.2359</f>
        <v>908.79866377999997</v>
      </c>
      <c r="F10" s="83"/>
      <c r="G10" s="22">
        <f t="shared" si="0"/>
        <v>2835.0226571799994</v>
      </c>
      <c r="H10" s="89"/>
      <c r="W10" s="221"/>
    </row>
    <row r="11" spans="1:23">
      <c r="A11" s="219" t="s">
        <v>65</v>
      </c>
      <c r="B11" s="86" t="s">
        <v>66</v>
      </c>
      <c r="C11" s="126">
        <f>(C9+C10)*0.08</f>
        <v>807.33199947199989</v>
      </c>
      <c r="D11" s="13"/>
      <c r="E11" s="145">
        <f>(E9+E10)*0.08</f>
        <v>380.90182910240003</v>
      </c>
      <c r="F11" s="83"/>
      <c r="G11" s="22">
        <f t="shared" si="0"/>
        <v>1188.2338285743999</v>
      </c>
      <c r="H11" s="89"/>
      <c r="J11" s="674" t="s">
        <v>85</v>
      </c>
      <c r="K11" s="675"/>
      <c r="W11" s="221"/>
    </row>
    <row r="12" spans="1:23">
      <c r="A12" s="222" t="s">
        <v>68</v>
      </c>
      <c r="B12" s="92" t="s">
        <v>21</v>
      </c>
      <c r="C12" s="127">
        <f>(C4)*0.07</f>
        <v>3143.8914500000005</v>
      </c>
      <c r="D12" s="127"/>
      <c r="E12" s="127">
        <f t="shared" ref="E12" si="1">(E4)*0.07</f>
        <v>3333.1392500000006</v>
      </c>
      <c r="F12" s="123"/>
      <c r="G12" s="22">
        <f t="shared" si="0"/>
        <v>6477.0307000000012</v>
      </c>
      <c r="H12" s="89"/>
      <c r="J12" s="359" t="s">
        <v>50</v>
      </c>
      <c r="K12" s="360">
        <f>4475.02+6479.72</f>
        <v>10954.740000000002</v>
      </c>
      <c r="W12" s="221"/>
    </row>
    <row r="13" spans="1:23">
      <c r="A13" s="219" t="s">
        <v>69</v>
      </c>
      <c r="B13" s="86" t="s">
        <v>70</v>
      </c>
      <c r="C13" s="130">
        <f>6*13*50</f>
        <v>3900</v>
      </c>
      <c r="D13" s="134"/>
      <c r="E13" s="251">
        <f>72*50</f>
        <v>3600</v>
      </c>
      <c r="F13" s="125"/>
      <c r="G13" s="23">
        <f t="shared" si="0"/>
        <v>7500</v>
      </c>
      <c r="H13" s="93"/>
      <c r="J13" s="361" t="s">
        <v>53</v>
      </c>
      <c r="K13" s="362">
        <f>G6+G7</f>
        <v>10718.48</v>
      </c>
      <c r="W13" s="221"/>
    </row>
    <row r="14" spans="1:23">
      <c r="A14" s="223" t="s">
        <v>72</v>
      </c>
      <c r="B14" s="75" t="s">
        <v>73</v>
      </c>
      <c r="C14" s="127">
        <f>2520+540</f>
        <v>3060</v>
      </c>
      <c r="D14" s="145">
        <f>C14+C17+C15</f>
        <v>6249.9</v>
      </c>
      <c r="E14" s="147">
        <f>2700+28+167.4</f>
        <v>2895.4</v>
      </c>
      <c r="F14" s="131">
        <f>E14+E17+E15</f>
        <v>4583.26</v>
      </c>
      <c r="G14" s="169">
        <f t="shared" si="0"/>
        <v>5955.4</v>
      </c>
      <c r="H14" s="89">
        <f>G14+G17+G15+G18</f>
        <v>10833.16</v>
      </c>
      <c r="W14" s="221"/>
    </row>
    <row r="15" spans="1:23">
      <c r="A15" s="224" t="s">
        <v>76</v>
      </c>
      <c r="B15" s="86" t="s">
        <v>77</v>
      </c>
      <c r="C15" s="127">
        <f>191.92+333.67*2+416.98</f>
        <v>1276.24</v>
      </c>
      <c r="D15" s="13"/>
      <c r="E15" s="133">
        <v>106.52</v>
      </c>
      <c r="F15" s="83"/>
      <c r="G15" s="169">
        <f t="shared" si="0"/>
        <v>1382.76</v>
      </c>
      <c r="H15" s="89"/>
      <c r="J15" s="651" t="s">
        <v>89</v>
      </c>
      <c r="K15" s="652"/>
      <c r="W15" s="221"/>
    </row>
    <row r="16" spans="1:23">
      <c r="A16" s="224" t="s">
        <v>139</v>
      </c>
      <c r="B16" s="86" t="s">
        <v>140</v>
      </c>
      <c r="C16" s="126">
        <f>346.99*2</f>
        <v>693.98</v>
      </c>
      <c r="D16" s="13"/>
      <c r="E16" s="252">
        <f>21+21.4+10+19+291.53+5.99+19.5+575.1+206.99+184.99+23.32+45.92+236.64+23.6+1.9*4+13.6+18.2+353.9</f>
        <v>2078.2799999999997</v>
      </c>
      <c r="F16" s="13"/>
      <c r="G16" s="9">
        <f t="shared" si="0"/>
        <v>2772.2599999999998</v>
      </c>
      <c r="H16" s="1"/>
      <c r="I16" s="229"/>
      <c r="J16" s="359" t="s">
        <v>50</v>
      </c>
      <c r="K16" s="360">
        <f>10658.07+17832.33</f>
        <v>28490.400000000001</v>
      </c>
      <c r="W16" s="221"/>
    </row>
    <row r="17" spans="1:23">
      <c r="A17" s="219" t="s">
        <v>79</v>
      </c>
      <c r="B17" s="86" t="s">
        <v>80</v>
      </c>
      <c r="C17" s="126">
        <f>250.21+327.73+12+189.57+13.4+1120.75</f>
        <v>1913.6599999999999</v>
      </c>
      <c r="D17" s="13"/>
      <c r="E17" s="145">
        <f>125+26.46+5+38+24+5+24.99+30+271.45+101.99+20.45+909</f>
        <v>1581.3400000000001</v>
      </c>
      <c r="F17" s="83"/>
      <c r="G17" s="169">
        <f>C17+E17</f>
        <v>3495</v>
      </c>
      <c r="H17" s="89"/>
      <c r="J17" s="363" t="s">
        <v>53</v>
      </c>
      <c r="K17" s="364">
        <f>H9-G12</f>
        <v>23541.156685754395</v>
      </c>
      <c r="W17" s="221"/>
    </row>
    <row r="18" spans="1:23" ht="20.25" customHeight="1">
      <c r="A18" s="219"/>
      <c r="B18" s="86"/>
      <c r="C18" s="126"/>
      <c r="D18" s="83"/>
      <c r="E18" s="126"/>
      <c r="F18" s="83"/>
      <c r="G18" s="169"/>
      <c r="H18" s="89"/>
      <c r="J18" s="511" t="s">
        <v>141</v>
      </c>
      <c r="K18" s="580">
        <f>K17/W7</f>
        <v>21.246914823150593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324"/>
    </row>
    <row r="19" spans="1:23" ht="24" customHeight="1">
      <c r="A19" s="216" t="s">
        <v>82</v>
      </c>
      <c r="B19" s="5" t="s">
        <v>83</v>
      </c>
      <c r="C19" s="157">
        <f>C4-C5</f>
        <v>11389.211557128001</v>
      </c>
      <c r="D19" s="121">
        <f>C19/C4</f>
        <v>0.25358534850144399</v>
      </c>
      <c r="E19" s="157">
        <f>E4-E5</f>
        <v>15416.021057117599</v>
      </c>
      <c r="F19" s="122">
        <f>E19/E4</f>
        <v>0.32375529285139587</v>
      </c>
      <c r="G19" s="15">
        <f>G4-G5</f>
        <v>26805.232614245615</v>
      </c>
      <c r="H19" s="96">
        <f>G19/G4</f>
        <v>0.28969544377753109</v>
      </c>
      <c r="M19" s="29" t="s">
        <v>174</v>
      </c>
      <c r="N19" s="28" t="s">
        <v>175</v>
      </c>
      <c r="O19" s="154" t="s">
        <v>176</v>
      </c>
      <c r="P19" s="154" t="s">
        <v>177</v>
      </c>
      <c r="Q19" s="29"/>
      <c r="R19" s="29"/>
      <c r="S19" s="28"/>
      <c r="T19" s="28"/>
      <c r="U19" s="28"/>
      <c r="V19" s="28"/>
      <c r="W19" s="543" t="s">
        <v>49</v>
      </c>
    </row>
    <row r="20" spans="1:23" ht="14.25">
      <c r="A20" s="393" t="s">
        <v>142</v>
      </c>
      <c r="B20" s="339" t="s">
        <v>143</v>
      </c>
      <c r="C20" s="339"/>
      <c r="D20" s="339"/>
      <c r="E20" s="339"/>
      <c r="F20" s="339"/>
      <c r="G20" s="494">
        <f>K4-27609-37391.69</f>
        <v>24824.78</v>
      </c>
      <c r="H20" s="184">
        <f>G20/K4</f>
        <v>0.27636682557853576</v>
      </c>
      <c r="J20" s="649" t="s">
        <v>100</v>
      </c>
      <c r="K20" s="650"/>
      <c r="M20" s="66">
        <v>1</v>
      </c>
      <c r="N20" s="66">
        <v>2</v>
      </c>
      <c r="O20" s="66">
        <v>3</v>
      </c>
      <c r="P20" s="66">
        <v>4</v>
      </c>
      <c r="Q20" s="66">
        <v>5</v>
      </c>
      <c r="R20" s="66">
        <v>6</v>
      </c>
      <c r="S20" s="66">
        <v>7</v>
      </c>
      <c r="T20" s="66">
        <v>8</v>
      </c>
      <c r="U20" s="66">
        <v>9</v>
      </c>
      <c r="V20" s="66">
        <v>10</v>
      </c>
      <c r="W20" s="544"/>
    </row>
    <row r="21" spans="1:23">
      <c r="A21" s="225"/>
      <c r="B21" s="98"/>
      <c r="C21" s="98"/>
      <c r="D21" s="98"/>
      <c r="E21" s="98"/>
      <c r="F21" s="98"/>
      <c r="H21" s="99"/>
      <c r="J21" s="367" t="s">
        <v>50</v>
      </c>
      <c r="K21" s="368">
        <f>W6/K6</f>
        <v>7.4593754415712876</v>
      </c>
      <c r="M21" s="69">
        <f>W21/5</f>
        <v>2000</v>
      </c>
      <c r="N21" s="69">
        <f>M21</f>
        <v>2000</v>
      </c>
      <c r="O21" s="69">
        <f>M21</f>
        <v>2000</v>
      </c>
      <c r="P21" s="69">
        <f>M21</f>
        <v>2000</v>
      </c>
      <c r="Q21" s="69">
        <f>M21</f>
        <v>2000</v>
      </c>
      <c r="R21" s="69"/>
      <c r="S21" s="69"/>
      <c r="T21" s="69"/>
      <c r="U21" s="69"/>
      <c r="V21" s="69"/>
      <c r="W21" s="326">
        <f>K26</f>
        <v>10000</v>
      </c>
    </row>
    <row r="22" spans="1:23" ht="30.75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402">
        <f>W7/K6</f>
        <v>7.8280344778861108</v>
      </c>
      <c r="M22" s="71">
        <f>C14+C15</f>
        <v>4336.24</v>
      </c>
      <c r="N22" s="72">
        <v>2700</v>
      </c>
      <c r="O22" s="72">
        <v>106.52</v>
      </c>
      <c r="P22" s="72">
        <f>28+167.4</f>
        <v>195.4</v>
      </c>
      <c r="Q22" s="72"/>
      <c r="R22" s="72"/>
      <c r="S22" s="72"/>
      <c r="T22" s="72"/>
      <c r="U22" s="72"/>
      <c r="V22" s="72"/>
      <c r="W22" s="436">
        <f>M22+N22+O22+P22+Q22+R22+S22+T22+U22+V22</f>
        <v>7338.16</v>
      </c>
    </row>
    <row r="23" spans="1:23">
      <c r="A23" s="226" t="s">
        <v>88</v>
      </c>
      <c r="B23" s="449">
        <f>H6/G5</f>
        <v>0.37843883886976787</v>
      </c>
      <c r="C23" s="410">
        <f>(4475.02+6479.72)/(27609+37391.69)</f>
        <v>0.16853267249932272</v>
      </c>
      <c r="D23" s="103"/>
      <c r="E23" s="103"/>
      <c r="F23" s="103"/>
      <c r="H23" s="99"/>
      <c r="J23" s="365" t="s">
        <v>146</v>
      </c>
      <c r="K23" s="366">
        <f>K22*K18</f>
        <v>166.32158178433232</v>
      </c>
      <c r="W23" s="221"/>
    </row>
    <row r="24" spans="1:23">
      <c r="A24" s="227" t="s">
        <v>89</v>
      </c>
      <c r="B24" s="449">
        <f>H9/G5</f>
        <v>0.45673253394380875</v>
      </c>
      <c r="C24" s="410">
        <f>(10658.07+17832.33)/(27609+37391.69)</f>
        <v>0.43830919333317847</v>
      </c>
      <c r="D24" s="103"/>
      <c r="E24" s="103"/>
      <c r="F24" s="103"/>
      <c r="H24" s="99"/>
      <c r="W24" s="221"/>
    </row>
    <row r="25" spans="1:23" ht="31.5" customHeight="1">
      <c r="A25" s="489" t="s">
        <v>91</v>
      </c>
      <c r="B25" s="484">
        <f>H14/G5</f>
        <v>0.16482862718642347</v>
      </c>
      <c r="C25" s="585">
        <f>(12476.78+13063.44)/(27609+37391.69)</f>
        <v>0.39292229051722377</v>
      </c>
      <c r="D25" s="103"/>
      <c r="E25" s="103"/>
      <c r="F25" s="103"/>
      <c r="H25" s="99"/>
      <c r="J25" s="651" t="s">
        <v>90</v>
      </c>
      <c r="K25" s="652"/>
      <c r="W25" s="221"/>
    </row>
    <row r="26" spans="1:23" ht="27.75" customHeight="1">
      <c r="A26" s="229"/>
      <c r="H26" s="99"/>
      <c r="J26" s="359" t="s">
        <v>50</v>
      </c>
      <c r="K26" s="360">
        <v>10000</v>
      </c>
      <c r="W26" s="221"/>
    </row>
    <row r="27" spans="1:23">
      <c r="A27" s="229"/>
      <c r="H27" s="99"/>
      <c r="J27" s="363" t="s">
        <v>53</v>
      </c>
      <c r="K27" s="364">
        <f>G14+G15</f>
        <v>7338.16</v>
      </c>
      <c r="W27" s="221"/>
    </row>
    <row r="28" spans="1:23" ht="30.75">
      <c r="A28" s="229"/>
      <c r="H28" s="99"/>
      <c r="J28" s="490" t="s">
        <v>147</v>
      </c>
      <c r="K28" s="366">
        <f>G14/W7</f>
        <v>5.3750067690752532</v>
      </c>
      <c r="W28" s="221"/>
    </row>
    <row r="29" spans="1:23">
      <c r="A29" s="229"/>
      <c r="H29" s="99"/>
      <c r="W29" s="221"/>
    </row>
    <row r="30" spans="1:23" ht="24.75">
      <c r="A30" s="229"/>
      <c r="H30" s="99"/>
      <c r="J30" s="189" t="s">
        <v>92</v>
      </c>
      <c r="K30" s="136"/>
      <c r="W30" s="221"/>
    </row>
    <row r="31" spans="1:23" ht="30.75">
      <c r="A31" s="229"/>
      <c r="H31" s="99"/>
      <c r="J31" s="10" t="s">
        <v>93</v>
      </c>
      <c r="K31" s="136">
        <f>G8</f>
        <v>14153.95</v>
      </c>
      <c r="W31" s="221"/>
    </row>
    <row r="32" spans="1:23">
      <c r="A32" s="229"/>
      <c r="H32" s="99"/>
      <c r="W32" s="221"/>
    </row>
    <row r="33" spans="1:23">
      <c r="A33" s="229"/>
      <c r="H33" s="99"/>
      <c r="J33" s="673" t="s">
        <v>94</v>
      </c>
      <c r="K33" s="673"/>
      <c r="W33" s="221"/>
    </row>
    <row r="34" spans="1:23">
      <c r="A34" s="229"/>
      <c r="J34" s="672">
        <v>45607</v>
      </c>
      <c r="K34" s="672"/>
      <c r="W34" s="221"/>
    </row>
    <row r="35" spans="1:23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2"/>
    </row>
    <row r="37" spans="1:23">
      <c r="I37" s="1"/>
    </row>
    <row r="38" spans="1:23">
      <c r="C38" t="s">
        <v>164</v>
      </c>
    </row>
    <row r="39" spans="1:23">
      <c r="C39" t="s">
        <v>178</v>
      </c>
    </row>
    <row r="40" spans="1:23">
      <c r="C40" t="s">
        <v>179</v>
      </c>
    </row>
    <row r="42" spans="1:23">
      <c r="C42" s="179">
        <v>0.3</v>
      </c>
      <c r="D42" s="179">
        <v>0.6</v>
      </c>
      <c r="E42" s="179">
        <v>0.1</v>
      </c>
      <c r="F42" t="s">
        <v>180</v>
      </c>
    </row>
    <row r="43" spans="1:23">
      <c r="A43" s="180"/>
      <c r="B43" s="312">
        <v>38864.31</v>
      </c>
      <c r="C43">
        <f>ROUND(B43*0.3,2)</f>
        <v>11659.29</v>
      </c>
      <c r="D43">
        <f>ROUND(B43*0.6,2)</f>
        <v>23318.59</v>
      </c>
      <c r="E43">
        <f>ROUND(B43*0.1,2)</f>
        <v>3886.43</v>
      </c>
      <c r="F43">
        <f>C43+D43+E43</f>
        <v>38864.310000000005</v>
      </c>
      <c r="G43" t="s">
        <v>181</v>
      </c>
    </row>
    <row r="44" spans="1:23">
      <c r="A44" s="180"/>
      <c r="B44" s="312">
        <v>50961.16</v>
      </c>
      <c r="C44">
        <f>ROUND(B44*0.3,2)</f>
        <v>15288.35</v>
      </c>
      <c r="D44" s="1">
        <f>ROUND(B44*0.6,2)</f>
        <v>30576.7</v>
      </c>
      <c r="E44">
        <f>ROUND(B44*0.1,2)-0.01</f>
        <v>5096.1099999999997</v>
      </c>
      <c r="F44">
        <f>C44+D44+E44</f>
        <v>50961.16</v>
      </c>
      <c r="G44" t="s">
        <v>182</v>
      </c>
    </row>
    <row r="45" spans="1:23">
      <c r="D45">
        <f>SUM(D43:D44)</f>
        <v>53895.29</v>
      </c>
      <c r="E45">
        <f>SUM(E43:E44)</f>
        <v>8982.5399999999991</v>
      </c>
    </row>
    <row r="46" spans="1:23">
      <c r="A46" s="180"/>
    </row>
    <row r="47" spans="1:23">
      <c r="A47" s="180"/>
      <c r="B47" s="1"/>
      <c r="C47" s="1"/>
      <c r="D47" s="1"/>
      <c r="G47" s="1"/>
    </row>
    <row r="48" spans="1:23">
      <c r="A48" s="180"/>
      <c r="B48" s="1"/>
      <c r="C48" s="1"/>
    </row>
    <row r="49" spans="1:14">
      <c r="A49" s="179"/>
    </row>
    <row r="50" spans="1:14">
      <c r="A50" s="179"/>
    </row>
    <row r="51" spans="1:14">
      <c r="A51" s="179"/>
    </row>
    <row r="52" spans="1:14">
      <c r="D52" s="181"/>
    </row>
    <row r="64" spans="1:14">
      <c r="N64" s="179"/>
    </row>
    <row r="65" spans="14:14">
      <c r="N65" s="179"/>
    </row>
    <row r="66" spans="14:14">
      <c r="N66" s="179"/>
    </row>
  </sheetData>
  <mergeCells count="14">
    <mergeCell ref="J33:K33"/>
    <mergeCell ref="J34:K34"/>
    <mergeCell ref="B1:L1"/>
    <mergeCell ref="J3:K3"/>
    <mergeCell ref="M3:N3"/>
    <mergeCell ref="J11:K11"/>
    <mergeCell ref="J15:K15"/>
    <mergeCell ref="M18:N18"/>
    <mergeCell ref="A2:H2"/>
    <mergeCell ref="C3:D3"/>
    <mergeCell ref="E3:F3"/>
    <mergeCell ref="G3:H3"/>
    <mergeCell ref="J25:K25"/>
    <mergeCell ref="J20:K20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456DC6A8-6118-46BF-A1AA-5BFD895C6FD4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2DB67A0B-C069-4FD2-902C-8246E44606C0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3" operator="greaterThan" id="{71EBA3F9-CD97-4B30-B67E-4D1802AF5155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FECF-DF38-40B2-B9F3-6CCDBFAADB51}">
  <sheetPr>
    <pageSetUpPr fitToPage="1"/>
  </sheetPr>
  <dimension ref="A1:Z40"/>
  <sheetViews>
    <sheetView workbookViewId="0">
      <selection activeCell="G5" sqref="G5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2.28515625" customWidth="1"/>
    <col min="4" max="4" width="10.7109375" customWidth="1"/>
    <col min="5" max="5" width="11.42578125" hidden="1" customWidth="1" outlineLevel="1"/>
    <col min="6" max="6" width="10.140625" hidden="1" customWidth="1" outlineLevel="1"/>
    <col min="7" max="7" width="11.42578125" customWidth="1" collapsed="1"/>
    <col min="8" max="8" width="10.140625" customWidth="1"/>
    <col min="9" max="9" width="4.140625" customWidth="1"/>
    <col min="10" max="10" width="17.85546875" customWidth="1"/>
    <col min="11" max="11" width="16" customWidth="1"/>
    <col min="12" max="12" width="3.7109375" customWidth="1"/>
    <col min="13" max="13" width="10.7109375" customWidth="1" collapsed="1"/>
    <col min="14" max="14" width="10.7109375" customWidth="1"/>
    <col min="15" max="15" width="13" customWidth="1"/>
    <col min="16" max="18" width="10.7109375" hidden="1" customWidth="1" outlineLevel="1"/>
    <col min="19" max="23" width="9.140625" hidden="1" customWidth="1" outlineLevel="1"/>
    <col min="24" max="24" width="2.5703125" hidden="1" customWidth="1" outlineLevel="1"/>
    <col min="25" max="25" width="9.140625" customWidth="1" collapsed="1"/>
  </cols>
  <sheetData>
    <row r="1" spans="1:26" ht="26.25" customHeight="1">
      <c r="A1" s="187" t="s">
        <v>183</v>
      </c>
      <c r="B1" s="677" t="s">
        <v>184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</row>
    <row r="2" spans="1:26" ht="18.75">
      <c r="A2" s="655" t="s">
        <v>30</v>
      </c>
      <c r="B2" s="656"/>
      <c r="C2" s="656"/>
      <c r="D2" s="656"/>
      <c r="E2" s="656"/>
      <c r="F2" s="656"/>
      <c r="G2" s="656"/>
      <c r="H2" s="657"/>
      <c r="I2" s="7"/>
      <c r="J2" s="491"/>
      <c r="K2" s="491"/>
      <c r="L2" s="491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7"/>
    </row>
    <row r="3" spans="1:26" ht="15.75" customHeight="1">
      <c r="A3" s="561"/>
      <c r="B3" s="562"/>
      <c r="C3" s="658" t="s">
        <v>173</v>
      </c>
      <c r="D3" s="659"/>
      <c r="E3" s="658"/>
      <c r="F3" s="659"/>
      <c r="G3" s="660" t="s">
        <v>36</v>
      </c>
      <c r="H3" s="661"/>
      <c r="I3" s="562"/>
      <c r="J3" s="670" t="s">
        <v>138</v>
      </c>
      <c r="K3" s="671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4"/>
      <c r="X3" s="565"/>
      <c r="Y3" s="566"/>
    </row>
    <row r="4" spans="1:26" ht="26.25" customHeight="1">
      <c r="A4" s="216" t="s">
        <v>40</v>
      </c>
      <c r="B4" s="5" t="s">
        <v>41</v>
      </c>
      <c r="C4" s="77">
        <f>K4+K5</f>
        <v>62500</v>
      </c>
      <c r="E4" s="77"/>
      <c r="G4" s="142">
        <f>E4+C4</f>
        <v>62500</v>
      </c>
      <c r="H4" s="80"/>
      <c r="J4" s="349" t="s">
        <v>64</v>
      </c>
      <c r="K4" s="502">
        <v>59000</v>
      </c>
      <c r="L4" s="110"/>
      <c r="M4" s="29" t="s">
        <v>185</v>
      </c>
      <c r="N4" s="28" t="s">
        <v>186</v>
      </c>
      <c r="O4" s="154" t="s">
        <v>174</v>
      </c>
      <c r="P4" s="154"/>
      <c r="Q4" s="154"/>
      <c r="R4" s="29"/>
      <c r="S4" s="29"/>
      <c r="T4" s="29"/>
      <c r="U4" s="29"/>
      <c r="V4" s="29"/>
      <c r="W4" s="29"/>
      <c r="X4" s="29"/>
      <c r="Y4" s="550" t="s">
        <v>49</v>
      </c>
    </row>
    <row r="5" spans="1:26" ht="30.75">
      <c r="A5" s="216" t="s">
        <v>51</v>
      </c>
      <c r="B5" s="5" t="s">
        <v>52</v>
      </c>
      <c r="C5" s="161">
        <f>C6+C7+C8+C9+C10+C11+C13+C14+C17+C15+C12</f>
        <v>55305.8724945344</v>
      </c>
      <c r="D5" s="5"/>
      <c r="E5" s="161">
        <f>E6+E7+E8+E9+E10+E11+E13+E14+E17+E15+E12</f>
        <v>0</v>
      </c>
      <c r="F5" s="5"/>
      <c r="G5" s="143">
        <f>G6+G7+G8+G9+G10+G11+G13+G14+G17+G15+G12+G18</f>
        <v>55305.8724945344</v>
      </c>
      <c r="H5" s="81"/>
      <c r="J5" s="399" t="s">
        <v>67</v>
      </c>
      <c r="K5" s="400">
        <v>3500</v>
      </c>
      <c r="M5" s="74">
        <v>1</v>
      </c>
      <c r="N5" s="74">
        <v>2</v>
      </c>
      <c r="O5" s="74">
        <v>3</v>
      </c>
      <c r="P5" s="74">
        <v>4</v>
      </c>
      <c r="Q5" s="74"/>
      <c r="R5" s="74">
        <v>5</v>
      </c>
      <c r="S5" s="74">
        <v>6</v>
      </c>
      <c r="T5" s="33">
        <v>7</v>
      </c>
      <c r="U5" s="33">
        <v>8</v>
      </c>
      <c r="V5" s="33">
        <v>9</v>
      </c>
      <c r="W5" s="33">
        <v>10</v>
      </c>
      <c r="X5" s="33">
        <v>11</v>
      </c>
      <c r="Y5" s="542"/>
    </row>
    <row r="6" spans="1:26" ht="17.25" customHeight="1">
      <c r="A6" s="217" t="s">
        <v>54</v>
      </c>
      <c r="B6" s="75" t="s">
        <v>55</v>
      </c>
      <c r="C6" s="259">
        <f>1788.53+124.45+225.42+110.55+145+38.49+212.65+587.33+541.51+135.29+166.45+37.55+13.7+137.55+35.75+170.8+94.05+82.74+98.05+78.98+26.65+99.7+77.9+102.75+23.74+332.96+128.69+99.1+123.24+76.8+34.75+34.95+76.95+26.9</f>
        <v>6089.9199999999983</v>
      </c>
      <c r="D6" s="13">
        <f>C6+C7+C8</f>
        <v>27208.249999999996</v>
      </c>
      <c r="E6" s="147"/>
      <c r="F6" s="83">
        <f>E6+E7+E8</f>
        <v>0</v>
      </c>
      <c r="G6" s="169">
        <f>C6+E6</f>
        <v>6089.9199999999983</v>
      </c>
      <c r="H6" s="84">
        <f>G6+G7+G8</f>
        <v>27208.249999999996</v>
      </c>
      <c r="J6" s="351" t="s">
        <v>71</v>
      </c>
      <c r="K6" s="352">
        <f>50.67+1.72</f>
        <v>52.39</v>
      </c>
      <c r="M6" s="40">
        <f>Y6/3</f>
        <v>208.17</v>
      </c>
      <c r="N6" s="40">
        <f>M6</f>
        <v>208.17</v>
      </c>
      <c r="O6" s="40">
        <f>N6</f>
        <v>208.17</v>
      </c>
      <c r="P6" s="40"/>
      <c r="Q6" s="40"/>
      <c r="R6" s="40"/>
      <c r="S6" s="40"/>
      <c r="T6" s="41"/>
      <c r="U6" s="41"/>
      <c r="V6" s="41"/>
      <c r="W6" s="41"/>
      <c r="X6" s="41"/>
      <c r="Y6" s="218">
        <v>624.51</v>
      </c>
    </row>
    <row r="7" spans="1:26">
      <c r="A7" s="219" t="s">
        <v>56</v>
      </c>
      <c r="B7" s="86" t="s">
        <v>57</v>
      </c>
      <c r="C7" s="126">
        <f>730+618</f>
        <v>1348</v>
      </c>
      <c r="D7" s="13"/>
      <c r="E7" s="133"/>
      <c r="F7" s="83"/>
      <c r="G7" s="169">
        <f t="shared" ref="G7:G17" si="0">C7+E7</f>
        <v>1348</v>
      </c>
      <c r="H7" s="84"/>
      <c r="J7" s="353" t="s">
        <v>74</v>
      </c>
      <c r="K7" s="354" t="s">
        <v>75</v>
      </c>
      <c r="M7" s="49">
        <v>376.15</v>
      </c>
      <c r="N7" s="50">
        <v>235</v>
      </c>
      <c r="O7" s="50">
        <v>190</v>
      </c>
      <c r="P7" s="50"/>
      <c r="Q7" s="50"/>
      <c r="R7" s="50"/>
      <c r="S7" s="50"/>
      <c r="T7" s="51"/>
      <c r="U7" s="51"/>
      <c r="V7" s="51"/>
      <c r="W7" s="51"/>
      <c r="X7" s="51"/>
      <c r="Y7" s="443">
        <f t="shared" ref="Y7" si="1">M7+N7+O7+P7+R7+S7+X7+T7+U7+V7+W7</f>
        <v>801.15</v>
      </c>
      <c r="Z7" t="s">
        <v>187</v>
      </c>
    </row>
    <row r="8" spans="1:26">
      <c r="A8" s="220" t="s">
        <v>58</v>
      </c>
      <c r="B8" s="76" t="s">
        <v>59</v>
      </c>
      <c r="C8" s="18">
        <f>3834.45+2626.62+945.3+12363.96</f>
        <v>19770.329999999998</v>
      </c>
      <c r="D8" s="14"/>
      <c r="E8" s="14"/>
      <c r="F8" s="88"/>
      <c r="G8" s="169">
        <f t="shared" si="0"/>
        <v>19770.329999999998</v>
      </c>
      <c r="H8" s="89"/>
      <c r="J8" s="355" t="s">
        <v>78</v>
      </c>
      <c r="K8" s="465">
        <v>13</v>
      </c>
      <c r="Y8" s="221"/>
    </row>
    <row r="9" spans="1:26">
      <c r="A9" s="217" t="s">
        <v>60</v>
      </c>
      <c r="B9" s="75" t="s">
        <v>61</v>
      </c>
      <c r="C9" s="257">
        <f>(200+181.3*16+176.98*13+84.32*12+358.84*14.5-C13)*1.42</f>
        <v>8685.515199999998</v>
      </c>
      <c r="D9" s="141">
        <f>C9+C10+C11+C13+C12</f>
        <v>21468.182494534398</v>
      </c>
      <c r="E9" s="148"/>
      <c r="F9" s="128">
        <f>E9+E10+E11+E13+E12</f>
        <v>0</v>
      </c>
      <c r="G9" s="21">
        <f t="shared" si="0"/>
        <v>8685.515199999998</v>
      </c>
      <c r="H9" s="90">
        <f>G9+G10+G11+G13+G12</f>
        <v>21468.182494534398</v>
      </c>
      <c r="J9" s="357" t="s">
        <v>81</v>
      </c>
      <c r="K9" s="358">
        <v>12</v>
      </c>
      <c r="Y9" s="221"/>
    </row>
    <row r="10" spans="1:26">
      <c r="A10" s="219" t="s">
        <v>62</v>
      </c>
      <c r="B10" s="86" t="s">
        <v>63</v>
      </c>
      <c r="C10" s="126">
        <f>C9*0.2359</f>
        <v>2048.9130356799997</v>
      </c>
      <c r="D10" s="13"/>
      <c r="E10" s="145">
        <f>E9*0.2359</f>
        <v>0</v>
      </c>
      <c r="F10" s="83"/>
      <c r="G10" s="22">
        <f t="shared" si="0"/>
        <v>2048.9130356799997</v>
      </c>
      <c r="H10" s="89"/>
      <c r="Y10" s="221"/>
    </row>
    <row r="11" spans="1:26">
      <c r="A11" s="219" t="s">
        <v>65</v>
      </c>
      <c r="B11" s="86" t="s">
        <v>66</v>
      </c>
      <c r="C11" s="126">
        <f>(C9+C10)*0.08</f>
        <v>858.75425885439984</v>
      </c>
      <c r="D11" s="13"/>
      <c r="E11" s="145">
        <f>(E9+E10)*0.08</f>
        <v>0</v>
      </c>
      <c r="F11" s="83"/>
      <c r="G11" s="22">
        <f t="shared" si="0"/>
        <v>858.75425885439984</v>
      </c>
      <c r="H11" s="89"/>
      <c r="J11" s="674" t="s">
        <v>85</v>
      </c>
      <c r="K11" s="675"/>
      <c r="Y11" s="221"/>
    </row>
    <row r="12" spans="1:26">
      <c r="A12" s="222" t="s">
        <v>68</v>
      </c>
      <c r="B12" s="92" t="s">
        <v>21</v>
      </c>
      <c r="C12" s="127">
        <f>(C4)*0.07</f>
        <v>4375</v>
      </c>
      <c r="D12" s="127"/>
      <c r="E12" s="127">
        <f t="shared" ref="E12" si="2">(E4)*0.07</f>
        <v>0</v>
      </c>
      <c r="F12" s="123"/>
      <c r="G12" s="22">
        <f t="shared" si="0"/>
        <v>4375</v>
      </c>
      <c r="H12" s="89"/>
      <c r="J12" s="359" t="s">
        <v>50</v>
      </c>
      <c r="K12" s="360">
        <v>7144.64</v>
      </c>
      <c r="Y12" s="221"/>
    </row>
    <row r="13" spans="1:26">
      <c r="A13" s="219" t="s">
        <v>69</v>
      </c>
      <c r="B13" s="86" t="s">
        <v>70</v>
      </c>
      <c r="C13" s="130">
        <f>110*50</f>
        <v>5500</v>
      </c>
      <c r="D13" s="134"/>
      <c r="E13" s="150"/>
      <c r="F13" s="125"/>
      <c r="G13" s="23">
        <f t="shared" si="0"/>
        <v>5500</v>
      </c>
      <c r="H13" s="93"/>
      <c r="J13" s="361" t="s">
        <v>53</v>
      </c>
      <c r="K13" s="403">
        <f>G6+G7</f>
        <v>7437.9199999999983</v>
      </c>
      <c r="Y13" s="221"/>
    </row>
    <row r="14" spans="1:26">
      <c r="A14" s="223" t="s">
        <v>72</v>
      </c>
      <c r="B14" s="75" t="s">
        <v>73</v>
      </c>
      <c r="C14" s="20">
        <f>3375+100.11+35.05+70.8</f>
        <v>3580.9600000000005</v>
      </c>
      <c r="D14" s="13">
        <f>C14+C17+C15</f>
        <v>6629.4400000000014</v>
      </c>
      <c r="E14" s="147"/>
      <c r="F14" s="131">
        <f>E14+E17+E15</f>
        <v>0</v>
      </c>
      <c r="G14" s="169">
        <f t="shared" si="0"/>
        <v>3580.9600000000005</v>
      </c>
      <c r="H14" s="89">
        <f>G14+G17+G15+G18</f>
        <v>6629.4400000000014</v>
      </c>
      <c r="Y14" s="221"/>
    </row>
    <row r="15" spans="1:26">
      <c r="A15" s="224" t="s">
        <v>76</v>
      </c>
      <c r="B15" s="86" t="s">
        <v>77</v>
      </c>
      <c r="C15" s="127">
        <f>386.97+271.75</f>
        <v>658.72</v>
      </c>
      <c r="D15" s="13"/>
      <c r="E15" s="133"/>
      <c r="F15" s="83"/>
      <c r="G15" s="169">
        <f t="shared" si="0"/>
        <v>658.72</v>
      </c>
      <c r="H15" s="89"/>
      <c r="J15" s="651" t="s">
        <v>89</v>
      </c>
      <c r="K15" s="652"/>
      <c r="Y15" s="221"/>
    </row>
    <row r="16" spans="1:26">
      <c r="A16" s="224" t="s">
        <v>139</v>
      </c>
      <c r="B16" s="86" t="s">
        <v>140</v>
      </c>
      <c r="C16" s="126">
        <f>206.4+503.98+15.97+33.8+23.32+211.07+174.4+28</f>
        <v>1196.94</v>
      </c>
      <c r="D16" s="13"/>
      <c r="E16" s="252"/>
      <c r="F16" s="13"/>
      <c r="G16" s="9">
        <f t="shared" si="0"/>
        <v>1196.94</v>
      </c>
      <c r="H16" s="1"/>
      <c r="I16" s="229"/>
      <c r="J16" s="359" t="s">
        <v>50</v>
      </c>
      <c r="K16" s="360">
        <f>13233.85+3000</f>
        <v>16233.85</v>
      </c>
      <c r="Y16" s="221"/>
    </row>
    <row r="17" spans="1:25">
      <c r="A17" s="219" t="s">
        <v>79</v>
      </c>
      <c r="B17" s="86" t="s">
        <v>80</v>
      </c>
      <c r="C17" s="126">
        <f>188.78+11.68+9+28.54+125+161+398.47+15+27.72+17.77+18.4+24.55+109.95+1253.9</f>
        <v>2389.7600000000002</v>
      </c>
      <c r="D17" s="13"/>
      <c r="E17" s="145"/>
      <c r="F17" s="83"/>
      <c r="G17" s="169">
        <f>C17+E17</f>
        <v>2389.7600000000002</v>
      </c>
      <c r="H17" s="89"/>
      <c r="J17" s="363" t="s">
        <v>53</v>
      </c>
      <c r="K17" s="434">
        <f>H9-G12</f>
        <v>17093.182494534398</v>
      </c>
      <c r="Y17" s="221"/>
    </row>
    <row r="18" spans="1:25" ht="20.25" customHeight="1">
      <c r="A18" s="219"/>
      <c r="B18" s="86"/>
      <c r="C18" s="126"/>
      <c r="D18" s="83"/>
      <c r="E18" s="126"/>
      <c r="F18" s="83"/>
      <c r="G18" s="169"/>
      <c r="H18" s="89"/>
      <c r="J18" s="511" t="s">
        <v>141</v>
      </c>
      <c r="K18" s="580">
        <f>K17/Y7</f>
        <v>21.335807894319913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554"/>
      <c r="X18" s="555"/>
      <c r="Y18" s="324"/>
    </row>
    <row r="19" spans="1:25" ht="24" customHeight="1">
      <c r="A19" s="216" t="s">
        <v>82</v>
      </c>
      <c r="B19" s="5" t="s">
        <v>83</v>
      </c>
      <c r="C19" s="157">
        <f>C4-C5</f>
        <v>7194.1275054655998</v>
      </c>
      <c r="D19" s="121">
        <f>C19/C4</f>
        <v>0.1151060400874496</v>
      </c>
      <c r="E19" s="157">
        <f>E4-E5</f>
        <v>0</v>
      </c>
      <c r="F19" s="122" t="e">
        <f>E19/E4</f>
        <v>#DIV/0!</v>
      </c>
      <c r="G19" s="15">
        <f>G4-G5</f>
        <v>7194.1275054655998</v>
      </c>
      <c r="H19" s="96">
        <f>G19/G4</f>
        <v>0.1151060400874496</v>
      </c>
      <c r="M19" s="29" t="s">
        <v>185</v>
      </c>
      <c r="N19" s="28" t="s">
        <v>186</v>
      </c>
      <c r="O19" s="154" t="s">
        <v>174</v>
      </c>
      <c r="P19" s="154"/>
      <c r="Q19" s="154"/>
      <c r="R19" s="29"/>
      <c r="S19" s="29"/>
      <c r="T19" s="28"/>
      <c r="U19" s="28"/>
      <c r="V19" s="28"/>
      <c r="W19" s="28"/>
      <c r="X19" s="28"/>
      <c r="Y19" s="543" t="s">
        <v>49</v>
      </c>
    </row>
    <row r="20" spans="1:25" ht="14.25">
      <c r="A20" s="393" t="s">
        <v>142</v>
      </c>
      <c r="B20" s="339" t="s">
        <v>143</v>
      </c>
      <c r="C20" s="339"/>
      <c r="D20" s="339"/>
      <c r="E20" s="339"/>
      <c r="F20" s="339"/>
      <c r="G20" s="494">
        <f>K4-45823.45</f>
        <v>13176.550000000003</v>
      </c>
      <c r="H20" s="184">
        <f>G20/K4</f>
        <v>0.22333135593220343</v>
      </c>
      <c r="J20" s="373" t="s">
        <v>100</v>
      </c>
      <c r="K20" s="374"/>
      <c r="M20" s="66">
        <v>1</v>
      </c>
      <c r="N20" s="66">
        <v>2</v>
      </c>
      <c r="O20" s="66">
        <v>3</v>
      </c>
      <c r="P20" s="66">
        <v>4</v>
      </c>
      <c r="Q20" s="66"/>
      <c r="R20" s="66">
        <v>5</v>
      </c>
      <c r="S20" s="66">
        <v>6</v>
      </c>
      <c r="T20" s="66">
        <v>7</v>
      </c>
      <c r="U20" s="66">
        <v>8</v>
      </c>
      <c r="V20" s="66">
        <v>9</v>
      </c>
      <c r="W20" s="66">
        <v>10</v>
      </c>
      <c r="X20" s="66">
        <v>11</v>
      </c>
      <c r="Y20" s="544"/>
    </row>
    <row r="21" spans="1:25">
      <c r="A21" s="225"/>
      <c r="B21" s="98"/>
      <c r="C21" s="98"/>
      <c r="D21" s="98"/>
      <c r="E21" s="98"/>
      <c r="F21" s="98"/>
      <c r="G21" s="1"/>
      <c r="H21" s="99"/>
      <c r="J21" s="367" t="s">
        <v>50</v>
      </c>
      <c r="K21" s="368">
        <f>Y6/K6</f>
        <v>11.920404657377361</v>
      </c>
      <c r="M21" s="69">
        <f>Y21/3</f>
        <v>1333.3333333333333</v>
      </c>
      <c r="N21" s="69">
        <f>M21</f>
        <v>1333.3333333333333</v>
      </c>
      <c r="O21" s="69">
        <f>M21</f>
        <v>1333.3333333333333</v>
      </c>
      <c r="P21" s="69"/>
      <c r="Q21" s="69"/>
      <c r="R21" s="69"/>
      <c r="S21" s="69"/>
      <c r="T21" s="69"/>
      <c r="U21" s="69"/>
      <c r="V21" s="69"/>
      <c r="W21" s="69"/>
      <c r="X21" s="69"/>
      <c r="Y21" s="326">
        <f>K26</f>
        <v>4000</v>
      </c>
    </row>
    <row r="22" spans="1:25" ht="30.75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402">
        <f>Y7/K6</f>
        <v>15.292040465737736</v>
      </c>
      <c r="M22" s="71">
        <f>G15+G14</f>
        <v>4239.68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398">
        <f t="shared" ref="Y22" si="3">M22+N22+O22+P22+R22+S22+X22+T22+U22+V22+W22</f>
        <v>4239.68</v>
      </c>
    </row>
    <row r="23" spans="1:25">
      <c r="A23" s="226" t="s">
        <v>88</v>
      </c>
      <c r="B23" s="449">
        <f>H6/G5</f>
        <v>0.49195951121987724</v>
      </c>
      <c r="C23" s="410">
        <f>7144.64/45823.45</f>
        <v>0.15591667585046523</v>
      </c>
      <c r="D23" s="103"/>
      <c r="E23" s="103"/>
      <c r="F23" s="103"/>
      <c r="H23" s="99"/>
      <c r="J23" s="365" t="s">
        <v>146</v>
      </c>
      <c r="K23" s="366">
        <f>K22*K18</f>
        <v>326.26803768914675</v>
      </c>
      <c r="Y23" s="221"/>
    </row>
    <row r="24" spans="1:25">
      <c r="A24" s="227" t="s">
        <v>89</v>
      </c>
      <c r="B24" s="449">
        <f>H9/G5</f>
        <v>0.38817184371616215</v>
      </c>
      <c r="C24" s="410">
        <f>13233.85/45823.46</f>
        <v>0.2888007583888253</v>
      </c>
      <c r="D24" s="103"/>
      <c r="E24" s="103"/>
      <c r="F24" s="103"/>
      <c r="H24" s="99"/>
      <c r="Y24" s="221"/>
    </row>
    <row r="25" spans="1:25" ht="25.5" customHeight="1">
      <c r="A25" s="489" t="s">
        <v>91</v>
      </c>
      <c r="B25" s="484">
        <f>H14/G5</f>
        <v>0.11986864506396053</v>
      </c>
      <c r="C25" s="381">
        <f>(19887.76+5603)/45823.45</f>
        <v>0.55628199098932973</v>
      </c>
      <c r="D25" s="103"/>
      <c r="E25" s="103"/>
      <c r="F25" s="103"/>
      <c r="H25" s="99"/>
      <c r="J25" s="371" t="s">
        <v>90</v>
      </c>
      <c r="K25" s="372"/>
      <c r="Y25" s="221"/>
    </row>
    <row r="26" spans="1:25">
      <c r="A26" s="229"/>
      <c r="H26" s="99"/>
      <c r="J26" s="359" t="s">
        <v>50</v>
      </c>
      <c r="K26" s="360">
        <v>4000</v>
      </c>
      <c r="Y26" s="221"/>
    </row>
    <row r="27" spans="1:25">
      <c r="A27" s="229"/>
      <c r="H27" s="99"/>
      <c r="J27" s="363" t="s">
        <v>53</v>
      </c>
      <c r="K27" s="434">
        <f>G14+G15</f>
        <v>4239.68</v>
      </c>
      <c r="Y27" s="221"/>
    </row>
    <row r="28" spans="1:25" ht="30.75">
      <c r="A28" s="229"/>
      <c r="H28" s="99"/>
      <c r="J28" s="490" t="s">
        <v>147</v>
      </c>
      <c r="K28" s="366">
        <f>G14/Y7</f>
        <v>4.4697746988703742</v>
      </c>
      <c r="Y28" s="221"/>
    </row>
    <row r="29" spans="1:25">
      <c r="A29" s="229"/>
      <c r="H29" s="99"/>
      <c r="Y29" s="221"/>
    </row>
    <row r="30" spans="1:25" ht="24.75">
      <c r="A30" s="229"/>
      <c r="H30" s="99"/>
      <c r="J30" s="189" t="s">
        <v>92</v>
      </c>
      <c r="K30" s="136"/>
      <c r="Y30" s="221"/>
    </row>
    <row r="31" spans="1:25" ht="30.75">
      <c r="A31" s="229"/>
      <c r="H31" s="99"/>
      <c r="J31" s="10" t="s">
        <v>93</v>
      </c>
      <c r="K31" s="136">
        <f>G8</f>
        <v>19770.329999999998</v>
      </c>
      <c r="Y31" s="221"/>
    </row>
    <row r="32" spans="1:25">
      <c r="A32" s="229"/>
      <c r="H32" s="99"/>
      <c r="Y32" s="221"/>
    </row>
    <row r="33" spans="1:25">
      <c r="A33" s="229"/>
      <c r="H33" s="99"/>
      <c r="J33" s="673" t="s">
        <v>94</v>
      </c>
      <c r="K33" s="673"/>
      <c r="Y33" s="221"/>
    </row>
    <row r="34" spans="1:25">
      <c r="A34" s="229"/>
      <c r="J34" s="672">
        <v>45575</v>
      </c>
      <c r="K34" s="672"/>
      <c r="Y34" s="221"/>
    </row>
    <row r="35" spans="1:25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2"/>
    </row>
    <row r="37" spans="1:25">
      <c r="I37" s="1"/>
    </row>
    <row r="38" spans="1:25">
      <c r="C38" t="s">
        <v>164</v>
      </c>
      <c r="D38" s="255">
        <f>D39+D40</f>
        <v>1254.7</v>
      </c>
    </row>
    <row r="39" spans="1:25">
      <c r="C39" t="s">
        <v>188</v>
      </c>
      <c r="D39" s="335">
        <v>200</v>
      </c>
    </row>
    <row r="40" spans="1:25">
      <c r="C40" t="s">
        <v>189</v>
      </c>
      <c r="D40" s="553">
        <v>1054.7</v>
      </c>
    </row>
  </sheetData>
  <mergeCells count="12">
    <mergeCell ref="J15:K15"/>
    <mergeCell ref="M18:N18"/>
    <mergeCell ref="J33:K33"/>
    <mergeCell ref="J34:K34"/>
    <mergeCell ref="B1:L1"/>
    <mergeCell ref="A2:H2"/>
    <mergeCell ref="J3:K3"/>
    <mergeCell ref="M3:N3"/>
    <mergeCell ref="J11:K11"/>
    <mergeCell ref="C3:D3"/>
    <mergeCell ref="E3:F3"/>
    <mergeCell ref="G3:H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2D0F4396-4DCD-48A2-9EEF-AB64CA461E7F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BBF9D1F5-8144-4E14-B71C-4C5A9AB7C28B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4" operator="greaterThan" id="{3E904932-DA6B-4501-B33D-119F4A568277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K20</xm:sqref>
        </x14:conditionalFormatting>
        <x14:conditionalFormatting xmlns:xm="http://schemas.microsoft.com/office/excel/2006/main">
          <x14:cfRule type="cellIs" priority="3" operator="greaterThan" id="{8E61B202-DBA5-4B84-9CDD-0D711CE1DC28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F29C-241A-4651-8CFD-D5560A1EC77A}">
  <sheetPr>
    <pageSetUpPr fitToPage="1"/>
  </sheetPr>
  <dimension ref="A1:Z51"/>
  <sheetViews>
    <sheetView topLeftCell="A28" workbookViewId="0">
      <selection activeCell="D47" sqref="D47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2.140625" customWidth="1"/>
    <col min="4" max="4" width="10.7109375" customWidth="1"/>
    <col min="5" max="5" width="10.7109375" customWidth="1" outlineLevel="1"/>
    <col min="6" max="6" width="10.140625" customWidth="1" outlineLevel="1"/>
    <col min="7" max="9" width="10.7109375" customWidth="1"/>
    <col min="10" max="10" width="25.42578125" customWidth="1"/>
    <col min="11" max="11" width="10.7109375" customWidth="1" collapsed="1"/>
    <col min="12" max="12" width="10.7109375" customWidth="1"/>
    <col min="13" max="13" width="12" customWidth="1"/>
    <col min="14" max="14" width="10.7109375" customWidth="1"/>
    <col min="15" max="15" width="12.5703125" hidden="1" customWidth="1" outlineLevel="1"/>
    <col min="16" max="16" width="10.7109375" hidden="1" customWidth="1" outlineLevel="1"/>
    <col min="17" max="19" width="16.140625" hidden="1" customWidth="1" outlineLevel="1"/>
    <col min="20" max="24" width="12.7109375" hidden="1" customWidth="1" outlineLevel="1"/>
    <col min="25" max="25" width="2.85546875" hidden="1" customWidth="1" outlineLevel="1"/>
    <col min="26" max="26" width="12.7109375" customWidth="1" collapsed="1"/>
    <col min="27" max="27" width="12.7109375" customWidth="1"/>
  </cols>
  <sheetData>
    <row r="1" spans="1:26" ht="25.5" customHeight="1">
      <c r="A1" s="187" t="s">
        <v>190</v>
      </c>
      <c r="B1" s="187" t="s">
        <v>191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</row>
    <row r="2" spans="1:26" ht="18.75">
      <c r="A2" s="655" t="s">
        <v>30</v>
      </c>
      <c r="B2" s="678"/>
      <c r="C2" s="678"/>
      <c r="D2" s="678"/>
      <c r="E2" s="678"/>
      <c r="F2" s="678"/>
      <c r="G2" s="678"/>
      <c r="H2" s="679"/>
      <c r="I2" s="520"/>
      <c r="J2" s="560"/>
      <c r="K2" s="560"/>
      <c r="L2" s="560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67"/>
      <c r="Y2" s="545"/>
      <c r="Z2" s="546"/>
    </row>
    <row r="3" spans="1:26" ht="15.75" customHeight="1">
      <c r="A3" s="561"/>
      <c r="B3" s="562"/>
      <c r="C3" s="658" t="s">
        <v>192</v>
      </c>
      <c r="D3" s="659"/>
      <c r="E3" s="658" t="s">
        <v>130</v>
      </c>
      <c r="F3" s="659"/>
      <c r="G3" s="660" t="s">
        <v>36</v>
      </c>
      <c r="H3" s="661"/>
      <c r="I3" s="562"/>
      <c r="J3" s="670" t="s">
        <v>138</v>
      </c>
      <c r="K3" s="671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5"/>
      <c r="X3" s="566"/>
      <c r="Y3" s="476"/>
      <c r="Z3" s="324"/>
    </row>
    <row r="4" spans="1:26" ht="16.5" customHeight="1">
      <c r="A4" s="216" t="s">
        <v>40</v>
      </c>
      <c r="B4" s="5" t="s">
        <v>41</v>
      </c>
      <c r="C4" s="77">
        <f>K4</f>
        <v>12910</v>
      </c>
      <c r="E4" s="77">
        <f>K5</f>
        <v>11947.66</v>
      </c>
      <c r="G4" s="142">
        <f>E4+C4</f>
        <v>24857.66</v>
      </c>
      <c r="H4" s="80"/>
      <c r="J4" s="349" t="s">
        <v>64</v>
      </c>
      <c r="K4" s="502">
        <v>12910</v>
      </c>
      <c r="L4" s="110"/>
      <c r="M4" s="29" t="s">
        <v>193</v>
      </c>
      <c r="N4" s="28" t="s">
        <v>194</v>
      </c>
      <c r="O4" s="154"/>
      <c r="P4" s="154"/>
      <c r="Q4" s="29"/>
      <c r="R4" s="29"/>
      <c r="S4" s="29"/>
      <c r="T4" s="29"/>
      <c r="U4" s="29"/>
      <c r="V4" s="29"/>
      <c r="W4" s="29"/>
      <c r="X4" s="559" t="s">
        <v>49</v>
      </c>
      <c r="Y4" s="29"/>
      <c r="Z4" s="559" t="s">
        <v>49</v>
      </c>
    </row>
    <row r="5" spans="1:26" ht="15" customHeight="1">
      <c r="A5" s="216" t="s">
        <v>51</v>
      </c>
      <c r="B5" s="5" t="s">
        <v>52</v>
      </c>
      <c r="C5" s="161">
        <f>C6+C7+C8+C9+C10+C11+C13+C14+C17+C15+C12</f>
        <v>7479.4684900355687</v>
      </c>
      <c r="D5" s="5"/>
      <c r="E5" s="161">
        <f>E6+E7+E8+E9+E10+E11+E13+E14+E17+E15+E12</f>
        <v>8177.4231497400351</v>
      </c>
      <c r="F5" s="5"/>
      <c r="G5" s="143">
        <f>G6+G7+G8+G9+G10+G11+G13+G14+G17+G15+G12+G18</f>
        <v>15656.891639775604</v>
      </c>
      <c r="H5" s="81"/>
      <c r="J5" s="399" t="s">
        <v>67</v>
      </c>
      <c r="K5" s="507">
        <f>992.02+2200+8755.64</f>
        <v>11947.66</v>
      </c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542"/>
      <c r="Y5" s="33">
        <v>11</v>
      </c>
      <c r="Z5" s="542"/>
    </row>
    <row r="6" spans="1:26">
      <c r="A6" s="217" t="s">
        <v>54</v>
      </c>
      <c r="B6" s="75" t="s">
        <v>55</v>
      </c>
      <c r="C6" s="127"/>
      <c r="D6" s="145">
        <f>C6+C7+C8</f>
        <v>1985.999649706629</v>
      </c>
      <c r="E6" s="147">
        <f>E51+1114.21</f>
        <v>7341.0869497400354</v>
      </c>
      <c r="F6" s="131">
        <f>E6+E7+E8</f>
        <v>7341.0869497400354</v>
      </c>
      <c r="G6" s="169">
        <f>C6+E6</f>
        <v>7341.0869497400354</v>
      </c>
      <c r="H6" s="84">
        <f>G6+G7+G8</f>
        <v>9327.086599446664</v>
      </c>
      <c r="J6" s="351" t="s">
        <v>71</v>
      </c>
      <c r="K6" s="352"/>
      <c r="M6" s="40">
        <f>X6/4</f>
        <v>0</v>
      </c>
      <c r="N6" s="40">
        <f>M6</f>
        <v>0</v>
      </c>
      <c r="O6" s="40">
        <f>M6</f>
        <v>0</v>
      </c>
      <c r="P6" s="40">
        <f>X6/4</f>
        <v>0</v>
      </c>
      <c r="Q6" s="40"/>
      <c r="R6" s="40"/>
      <c r="S6" s="41"/>
      <c r="T6" s="41"/>
      <c r="U6" s="41"/>
      <c r="V6" s="41"/>
      <c r="W6" s="41"/>
      <c r="X6" s="218"/>
      <c r="Y6" s="41"/>
      <c r="Z6" s="218"/>
    </row>
    <row r="7" spans="1:26" ht="24.75">
      <c r="A7" s="219" t="s">
        <v>56</v>
      </c>
      <c r="B7" s="86" t="s">
        <v>57</v>
      </c>
      <c r="C7" s="126"/>
      <c r="D7" s="13"/>
      <c r="E7" s="133"/>
      <c r="F7" s="83"/>
      <c r="G7" s="169">
        <f t="shared" ref="G7:G17" si="0">C7+E7</f>
        <v>0</v>
      </c>
      <c r="H7" s="84"/>
      <c r="J7" s="353" t="s">
        <v>74</v>
      </c>
      <c r="K7" s="354" t="s">
        <v>75</v>
      </c>
      <c r="M7" s="49">
        <v>200.75</v>
      </c>
      <c r="N7" s="50"/>
      <c r="O7" s="50"/>
      <c r="P7" s="50"/>
      <c r="Q7" s="50"/>
      <c r="R7" s="50"/>
      <c r="S7" s="51"/>
      <c r="T7" s="51"/>
      <c r="U7" s="51"/>
      <c r="V7" s="51"/>
      <c r="W7" s="51"/>
      <c r="X7" s="443">
        <f t="shared" ref="X7" si="1">M7+N7+O7+P7+Q7+R7+W7+S7+T7+U7+V7</f>
        <v>200.75</v>
      </c>
      <c r="Y7" s="51"/>
      <c r="Z7" s="443">
        <f t="shared" ref="Z7" si="2">O7+P7+Q7+R7+S7+T7+Y7+U7+V7+W7+X7</f>
        <v>200.75</v>
      </c>
    </row>
    <row r="8" spans="1:26">
      <c r="A8" s="220" t="s">
        <v>58</v>
      </c>
      <c r="B8" s="76" t="s">
        <v>59</v>
      </c>
      <c r="C8" s="144">
        <f>D40+D41+D45</f>
        <v>1985.999649706629</v>
      </c>
      <c r="D8" s="14"/>
      <c r="E8" s="14"/>
      <c r="F8" s="88"/>
      <c r="G8" s="169">
        <f t="shared" si="0"/>
        <v>1985.999649706629</v>
      </c>
      <c r="H8" s="89"/>
      <c r="J8" s="355" t="s">
        <v>78</v>
      </c>
      <c r="K8" s="465">
        <v>13</v>
      </c>
      <c r="X8" s="221"/>
      <c r="Z8" s="221"/>
    </row>
    <row r="9" spans="1:26">
      <c r="A9" s="217" t="s">
        <v>60</v>
      </c>
      <c r="B9" s="75" t="s">
        <v>61</v>
      </c>
      <c r="C9" s="257">
        <f>(2786-C13)*1.42</f>
        <v>1755.12</v>
      </c>
      <c r="D9" s="141">
        <f>C9+C10+C11+C13+C12</f>
        <v>4796.3850326399997</v>
      </c>
      <c r="E9" s="148"/>
      <c r="F9" s="128">
        <f>E9+E10+E11+E13+E12</f>
        <v>836.33620000000008</v>
      </c>
      <c r="G9" s="21">
        <f t="shared" si="0"/>
        <v>1755.12</v>
      </c>
      <c r="H9" s="90">
        <f>G9+G10+G11+G13+G12</f>
        <v>5632.7212326400004</v>
      </c>
      <c r="J9" s="357" t="s">
        <v>81</v>
      </c>
      <c r="K9" s="358">
        <v>12</v>
      </c>
      <c r="X9" s="221"/>
      <c r="Z9" s="221"/>
    </row>
    <row r="10" spans="1:26">
      <c r="A10" s="219" t="s">
        <v>62</v>
      </c>
      <c r="B10" s="86" t="s">
        <v>63</v>
      </c>
      <c r="C10" s="126">
        <f>C9*0.2359</f>
        <v>414.03280799999999</v>
      </c>
      <c r="D10" s="13"/>
      <c r="E10" s="145">
        <f>E9*0.2359</f>
        <v>0</v>
      </c>
      <c r="F10" s="83"/>
      <c r="G10" s="22">
        <f t="shared" si="0"/>
        <v>414.03280799999999</v>
      </c>
      <c r="H10" s="89"/>
      <c r="X10" s="221"/>
      <c r="Z10" s="221"/>
    </row>
    <row r="11" spans="1:26">
      <c r="A11" s="219" t="s">
        <v>65</v>
      </c>
      <c r="B11" s="86" t="s">
        <v>66</v>
      </c>
      <c r="C11" s="126">
        <f>(C9+C10)*0.08</f>
        <v>173.53222463999998</v>
      </c>
      <c r="D11" s="13"/>
      <c r="E11" s="145">
        <f>(E9+E10)*0.08</f>
        <v>0</v>
      </c>
      <c r="F11" s="83"/>
      <c r="G11" s="22">
        <f t="shared" si="0"/>
        <v>173.53222463999998</v>
      </c>
      <c r="H11" s="89"/>
      <c r="J11" s="674" t="s">
        <v>85</v>
      </c>
      <c r="K11" s="675"/>
      <c r="X11" s="221"/>
      <c r="Z11" s="221"/>
    </row>
    <row r="12" spans="1:26">
      <c r="A12" s="222" t="s">
        <v>68</v>
      </c>
      <c r="B12" s="92" t="s">
        <v>21</v>
      </c>
      <c r="C12" s="127">
        <f>(C4)*0.07</f>
        <v>903.7</v>
      </c>
      <c r="D12" s="127"/>
      <c r="E12" s="127">
        <f t="shared" ref="E12" si="3">(E4)*0.07</f>
        <v>836.33620000000008</v>
      </c>
      <c r="F12" s="123"/>
      <c r="G12" s="22">
        <f t="shared" si="0"/>
        <v>1740.0362</v>
      </c>
      <c r="H12" s="89"/>
      <c r="J12" s="359" t="s">
        <v>50</v>
      </c>
      <c r="K12" s="360"/>
      <c r="X12" s="221"/>
      <c r="Z12" s="221"/>
    </row>
    <row r="13" spans="1:26">
      <c r="A13" s="219" t="s">
        <v>69</v>
      </c>
      <c r="B13" s="86" t="s">
        <v>70</v>
      </c>
      <c r="C13" s="260">
        <f>31*50</f>
        <v>1550</v>
      </c>
      <c r="D13" s="134"/>
      <c r="E13" s="150"/>
      <c r="F13" s="125"/>
      <c r="G13" s="23">
        <f t="shared" si="0"/>
        <v>1550</v>
      </c>
      <c r="H13" s="93"/>
      <c r="J13" s="361" t="s">
        <v>53</v>
      </c>
      <c r="K13" s="362">
        <f>G6+G7</f>
        <v>7341.0869497400354</v>
      </c>
      <c r="X13" s="221"/>
      <c r="Z13" s="221"/>
    </row>
    <row r="14" spans="1:26">
      <c r="A14" s="223" t="s">
        <v>72</v>
      </c>
      <c r="B14" s="75" t="s">
        <v>73</v>
      </c>
      <c r="C14" s="127">
        <f>D43</f>
        <v>697.08380768893949</v>
      </c>
      <c r="D14" s="145">
        <f>C14+C17+C15</f>
        <v>697.08380768893949</v>
      </c>
      <c r="E14" s="147"/>
      <c r="F14" s="131">
        <f>E14+E17+E15</f>
        <v>0</v>
      </c>
      <c r="G14" s="169">
        <f t="shared" si="0"/>
        <v>697.08380768893949</v>
      </c>
      <c r="H14" s="89">
        <f>G14+G17+G15+G18</f>
        <v>697.08380768893949</v>
      </c>
      <c r="X14" s="221"/>
      <c r="Z14" s="221"/>
    </row>
    <row r="15" spans="1:26">
      <c r="A15" s="224" t="s">
        <v>76</v>
      </c>
      <c r="B15" s="86" t="s">
        <v>77</v>
      </c>
      <c r="C15" s="127"/>
      <c r="D15" s="13"/>
      <c r="E15" s="133"/>
      <c r="F15" s="83"/>
      <c r="G15" s="169">
        <f t="shared" si="0"/>
        <v>0</v>
      </c>
      <c r="H15" s="89"/>
      <c r="J15" s="651" t="s">
        <v>89</v>
      </c>
      <c r="K15" s="652"/>
      <c r="X15" s="221"/>
      <c r="Z15" s="221"/>
    </row>
    <row r="16" spans="1:26">
      <c r="A16" s="224" t="s">
        <v>139</v>
      </c>
      <c r="B16" s="86" t="s">
        <v>140</v>
      </c>
      <c r="C16" s="126"/>
      <c r="D16" s="13"/>
      <c r="E16" s="252"/>
      <c r="F16" s="13"/>
      <c r="G16" s="9">
        <f t="shared" si="0"/>
        <v>0</v>
      </c>
      <c r="H16" s="1"/>
      <c r="I16" s="229"/>
      <c r="J16" s="359" t="s">
        <v>50</v>
      </c>
      <c r="K16" s="360"/>
      <c r="X16" s="221"/>
      <c r="Z16" s="221"/>
    </row>
    <row r="17" spans="1:26">
      <c r="A17" s="219" t="s">
        <v>79</v>
      </c>
      <c r="B17" s="86" t="s">
        <v>80</v>
      </c>
      <c r="C17" s="126"/>
      <c r="D17" s="13"/>
      <c r="E17" s="145"/>
      <c r="F17" s="83"/>
      <c r="G17" s="169">
        <f>C17+E17</f>
        <v>0</v>
      </c>
      <c r="H17" s="89"/>
      <c r="J17" s="363" t="s">
        <v>53</v>
      </c>
      <c r="K17" s="364">
        <f>H9-G12</f>
        <v>3892.6850326400004</v>
      </c>
      <c r="X17" s="221"/>
      <c r="Z17" s="221"/>
    </row>
    <row r="18" spans="1:26" ht="20.25" customHeight="1">
      <c r="A18" s="219"/>
      <c r="B18" s="86"/>
      <c r="C18" s="126"/>
      <c r="D18" s="83"/>
      <c r="E18" s="126"/>
      <c r="F18" s="83"/>
      <c r="G18" s="169"/>
      <c r="H18" s="89"/>
      <c r="J18" s="511" t="s">
        <v>141</v>
      </c>
      <c r="K18" s="512">
        <f>K17/Z7</f>
        <v>19.390710000697386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555"/>
      <c r="X18" s="324"/>
      <c r="Y18" s="555"/>
      <c r="Z18" s="324"/>
    </row>
    <row r="19" spans="1:26" ht="24" customHeight="1">
      <c r="A19" s="216" t="s">
        <v>82</v>
      </c>
      <c r="B19" s="5" t="s">
        <v>83</v>
      </c>
      <c r="C19" s="157">
        <f>C4-C5</f>
        <v>5430.5315099644313</v>
      </c>
      <c r="D19" s="121">
        <f>C19/C4</f>
        <v>0.42064535321180724</v>
      </c>
      <c r="E19" s="157">
        <f>E4-E5</f>
        <v>3770.2368502599647</v>
      </c>
      <c r="F19" s="122">
        <f>E19/E4</f>
        <v>0.31556278386395031</v>
      </c>
      <c r="G19" s="15">
        <f>G4-G5</f>
        <v>9200.768360224396</v>
      </c>
      <c r="H19" s="96">
        <f>G19/G4</f>
        <v>0.37013815299687886</v>
      </c>
      <c r="M19" s="29" t="s">
        <v>195</v>
      </c>
      <c r="N19" s="28" t="s">
        <v>167</v>
      </c>
      <c r="O19" s="154"/>
      <c r="P19" s="154"/>
      <c r="Q19" s="29"/>
      <c r="R19" s="29"/>
      <c r="S19" s="28"/>
      <c r="T19" s="28"/>
      <c r="U19" s="28"/>
      <c r="V19" s="28"/>
      <c r="W19" s="28"/>
      <c r="X19" s="543" t="s">
        <v>49</v>
      </c>
      <c r="Y19" s="28"/>
      <c r="Z19" s="543" t="s">
        <v>49</v>
      </c>
    </row>
    <row r="20" spans="1:26" ht="14.25">
      <c r="A20" s="393" t="s">
        <v>142</v>
      </c>
      <c r="B20" s="339" t="s">
        <v>143</v>
      </c>
      <c r="C20" s="339"/>
      <c r="D20" s="339"/>
      <c r="E20" s="339"/>
      <c r="F20" s="339"/>
      <c r="G20" s="494"/>
      <c r="H20" s="184">
        <f>G20/K4</f>
        <v>0</v>
      </c>
      <c r="J20" s="373" t="s">
        <v>100</v>
      </c>
      <c r="K20" s="374"/>
      <c r="M20" s="66">
        <v>1</v>
      </c>
      <c r="N20" s="66">
        <v>2</v>
      </c>
      <c r="O20" s="66">
        <v>3</v>
      </c>
      <c r="P20" s="66">
        <v>4</v>
      </c>
      <c r="Q20" s="66">
        <v>5</v>
      </c>
      <c r="R20" s="66">
        <v>6</v>
      </c>
      <c r="S20" s="66">
        <v>7</v>
      </c>
      <c r="T20" s="66">
        <v>8</v>
      </c>
      <c r="U20" s="66">
        <v>9</v>
      </c>
      <c r="V20" s="66">
        <v>10</v>
      </c>
      <c r="W20" s="66">
        <v>11</v>
      </c>
      <c r="X20" s="544"/>
      <c r="Y20" s="66">
        <v>11</v>
      </c>
      <c r="Z20" s="544"/>
    </row>
    <row r="21" spans="1:26">
      <c r="A21" s="225"/>
      <c r="B21" s="98"/>
      <c r="C21" s="98"/>
      <c r="D21" s="98"/>
      <c r="E21" s="98"/>
      <c r="F21" s="98"/>
      <c r="H21" s="99"/>
      <c r="J21" s="367" t="s">
        <v>50</v>
      </c>
      <c r="K21" s="368" t="e">
        <f>#REF!/K6</f>
        <v>#REF!</v>
      </c>
      <c r="M21" s="69" t="e">
        <f>X21/4</f>
        <v>#REF!</v>
      </c>
      <c r="N21" s="69" t="e">
        <f>M21</f>
        <v>#REF!</v>
      </c>
      <c r="O21" s="69" t="e">
        <f>M21</f>
        <v>#REF!</v>
      </c>
      <c r="P21" s="69" t="e">
        <f>X21/4</f>
        <v>#REF!</v>
      </c>
      <c r="Q21" s="69"/>
      <c r="R21" s="69"/>
      <c r="S21" s="69"/>
      <c r="T21" s="69"/>
      <c r="U21" s="69"/>
      <c r="V21" s="69"/>
      <c r="W21" s="69"/>
      <c r="X21" s="326" t="e">
        <f>#REF!</f>
        <v>#REF!</v>
      </c>
      <c r="Y21" s="69"/>
      <c r="Z21" s="326" t="e">
        <f>#REF!</f>
        <v>#REF!</v>
      </c>
    </row>
    <row r="22" spans="1:26" ht="30.75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370" t="e">
        <f>#REF!/K6</f>
        <v>#REF!</v>
      </c>
      <c r="M22" s="71">
        <f>G15+G14</f>
        <v>697.08380768893949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398">
        <f t="shared" ref="X22" si="4">M22+N22+O22+P22+Q22+R22+W22+S22+T22+U22+V22</f>
        <v>697.08380768893949</v>
      </c>
      <c r="Y22" s="72"/>
      <c r="Z22" s="398">
        <f t="shared" ref="Z22" si="5">O22+P22+Q22+R22+S22+T22+Y22+U22+V22+W22+X22</f>
        <v>697.08380768893949</v>
      </c>
    </row>
    <row r="23" spans="1:26">
      <c r="A23" s="226" t="s">
        <v>88</v>
      </c>
      <c r="B23" s="449">
        <f>H6/G5</f>
        <v>0.59571764396399318</v>
      </c>
      <c r="C23" s="410"/>
      <c r="D23" s="103"/>
      <c r="E23" s="103"/>
      <c r="F23" s="103"/>
      <c r="H23" s="99"/>
      <c r="J23" s="365" t="s">
        <v>146</v>
      </c>
      <c r="K23" s="366" t="e">
        <f>K22*K18</f>
        <v>#REF!</v>
      </c>
      <c r="X23" s="221"/>
      <c r="Z23" s="221"/>
    </row>
    <row r="24" spans="1:26">
      <c r="A24" s="227" t="s">
        <v>89</v>
      </c>
      <c r="B24" s="449">
        <f>H9/G5</f>
        <v>0.35975986563835788</v>
      </c>
      <c r="C24" s="410"/>
      <c r="D24" s="103"/>
      <c r="E24" s="103"/>
      <c r="F24" s="103"/>
      <c r="H24" s="99"/>
      <c r="X24" s="221"/>
      <c r="Z24" s="221"/>
    </row>
    <row r="25" spans="1:26" ht="30.75" customHeight="1">
      <c r="A25" s="489" t="s">
        <v>91</v>
      </c>
      <c r="B25" s="484">
        <f>H14/G5</f>
        <v>4.4522490397648953E-2</v>
      </c>
      <c r="C25" s="381"/>
      <c r="D25" s="103"/>
      <c r="E25" s="103"/>
      <c r="F25" s="103"/>
      <c r="H25" s="99"/>
      <c r="J25" s="371" t="s">
        <v>90</v>
      </c>
      <c r="K25" s="372"/>
      <c r="X25" s="221"/>
      <c r="Z25" s="221"/>
    </row>
    <row r="26" spans="1:26" ht="27.75" customHeight="1">
      <c r="A26" s="229"/>
      <c r="H26" s="99"/>
      <c r="J26" s="359" t="s">
        <v>50</v>
      </c>
      <c r="K26" s="360" t="e">
        <f>#REF!</f>
        <v>#REF!</v>
      </c>
      <c r="X26" s="221"/>
      <c r="Z26" s="221"/>
    </row>
    <row r="27" spans="1:26">
      <c r="A27" s="229"/>
      <c r="H27" s="99"/>
      <c r="J27" s="363" t="s">
        <v>53</v>
      </c>
      <c r="K27" s="364" t="e">
        <f>#REF!</f>
        <v>#REF!</v>
      </c>
      <c r="X27" s="221"/>
      <c r="Z27" s="221"/>
    </row>
    <row r="28" spans="1:26">
      <c r="A28" s="229"/>
      <c r="H28" s="99"/>
      <c r="J28" s="490" t="s">
        <v>147</v>
      </c>
      <c r="K28" s="366" t="e">
        <f>K27/#REF!</f>
        <v>#REF!</v>
      </c>
      <c r="X28" s="221"/>
      <c r="Z28" s="221"/>
    </row>
    <row r="29" spans="1:26">
      <c r="A29" s="229"/>
      <c r="H29" s="99"/>
      <c r="X29" s="221"/>
      <c r="Z29" s="221"/>
    </row>
    <row r="30" spans="1:26">
      <c r="A30" s="229"/>
      <c r="H30" s="99"/>
      <c r="J30" s="189" t="s">
        <v>92</v>
      </c>
      <c r="K30" s="136"/>
      <c r="X30" s="221"/>
      <c r="Z30" s="221"/>
    </row>
    <row r="31" spans="1:26" ht="30.75">
      <c r="A31" s="229"/>
      <c r="H31" s="99"/>
      <c r="J31" s="10" t="s">
        <v>93</v>
      </c>
      <c r="K31" s="136">
        <f>G8</f>
        <v>1985.999649706629</v>
      </c>
      <c r="X31" s="221"/>
      <c r="Z31" s="221"/>
    </row>
    <row r="32" spans="1:26">
      <c r="A32" s="229"/>
      <c r="H32" s="99"/>
      <c r="X32" s="221"/>
      <c r="Y32" s="107"/>
      <c r="Z32" s="221"/>
    </row>
    <row r="33" spans="1:26">
      <c r="A33" s="229"/>
      <c r="H33" s="99"/>
      <c r="J33" s="673" t="s">
        <v>94</v>
      </c>
      <c r="K33" s="673"/>
      <c r="X33" s="221"/>
      <c r="Z33" s="221"/>
    </row>
    <row r="34" spans="1:26">
      <c r="A34" s="229"/>
      <c r="J34" s="672">
        <v>45628</v>
      </c>
      <c r="K34" s="672"/>
      <c r="X34" s="221"/>
      <c r="Z34" s="221"/>
    </row>
    <row r="35" spans="1:26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2"/>
      <c r="Y35" s="231"/>
      <c r="Z35" s="232"/>
    </row>
    <row r="37" spans="1:26">
      <c r="I37" s="1"/>
    </row>
    <row r="39" spans="1:26">
      <c r="A39" t="s">
        <v>196</v>
      </c>
      <c r="B39" t="s">
        <v>197</v>
      </c>
      <c r="C39" t="s">
        <v>198</v>
      </c>
      <c r="D39" t="s">
        <v>199</v>
      </c>
      <c r="E39">
        <v>11.54</v>
      </c>
      <c r="G39">
        <v>11.419</v>
      </c>
    </row>
    <row r="40" spans="1:26">
      <c r="A40" t="s">
        <v>200</v>
      </c>
      <c r="B40">
        <v>149296691</v>
      </c>
      <c r="C40">
        <v>2150.04</v>
      </c>
      <c r="D40" s="1">
        <f>C40/$G$39</f>
        <v>188.28618968386021</v>
      </c>
      <c r="E40" s="1"/>
    </row>
    <row r="41" spans="1:26">
      <c r="B41">
        <v>149402893</v>
      </c>
      <c r="C41">
        <v>16495.09</v>
      </c>
      <c r="D41" s="1">
        <f t="shared" ref="D41:D45" si="6">C41/$G$39</f>
        <v>1444.5301690165513</v>
      </c>
    </row>
    <row r="42" spans="1:26">
      <c r="D42" s="1">
        <f t="shared" si="6"/>
        <v>0</v>
      </c>
    </row>
    <row r="43" spans="1:26">
      <c r="A43" t="s">
        <v>201</v>
      </c>
      <c r="B43">
        <v>46008</v>
      </c>
      <c r="C43">
        <v>7960</v>
      </c>
      <c r="D43" s="1">
        <f t="shared" si="6"/>
        <v>697.08380768893949</v>
      </c>
    </row>
    <row r="44" spans="1:26">
      <c r="D44" s="1">
        <f t="shared" si="6"/>
        <v>0</v>
      </c>
    </row>
    <row r="45" spans="1:26">
      <c r="A45" t="s">
        <v>202</v>
      </c>
      <c r="B45">
        <v>182333111606229</v>
      </c>
      <c r="C45">
        <v>4033</v>
      </c>
      <c r="D45" s="1">
        <f t="shared" si="6"/>
        <v>353.1832910062177</v>
      </c>
    </row>
    <row r="46" spans="1:26">
      <c r="A46" s="568"/>
      <c r="B46" s="568"/>
      <c r="C46" s="568"/>
      <c r="D46" s="568"/>
      <c r="E46" s="568"/>
    </row>
    <row r="47" spans="1:26">
      <c r="A47" t="s">
        <v>203</v>
      </c>
      <c r="B47">
        <v>34746</v>
      </c>
      <c r="D47">
        <v>54600</v>
      </c>
      <c r="E47" s="1"/>
    </row>
    <row r="48" spans="1:26">
      <c r="A48" t="s">
        <v>204</v>
      </c>
      <c r="B48">
        <v>11858599</v>
      </c>
      <c r="D48">
        <v>12458.16</v>
      </c>
      <c r="E48" s="1"/>
    </row>
    <row r="49" spans="1:5">
      <c r="A49" t="s">
        <v>205</v>
      </c>
      <c r="B49">
        <v>2414</v>
      </c>
      <c r="D49">
        <v>4800</v>
      </c>
    </row>
    <row r="51" spans="1:5">
      <c r="D51">
        <f>D47+D48+D49</f>
        <v>71858.16</v>
      </c>
      <c r="E51">
        <f>D51/E39</f>
        <v>6226.8769497400353</v>
      </c>
    </row>
  </sheetData>
  <mergeCells count="11">
    <mergeCell ref="J33:K33"/>
    <mergeCell ref="J34:K34"/>
    <mergeCell ref="M18:N18"/>
    <mergeCell ref="M3:N3"/>
    <mergeCell ref="A2:H2"/>
    <mergeCell ref="C3:D3"/>
    <mergeCell ref="E3:F3"/>
    <mergeCell ref="G3:H3"/>
    <mergeCell ref="J3:K3"/>
    <mergeCell ref="J11:K11"/>
    <mergeCell ref="J15:K15"/>
  </mergeCells>
  <pageMargins left="0.7" right="0.7" top="0.75" bottom="0.75" header="0.3" footer="0.3"/>
  <pageSetup paperSize="9" orientation="landscape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70D2ED2B-A30E-4837-8A28-29F5EEF882AB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60219F15-D7FC-4D65-B807-4CA70DE4CD75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4" operator="greaterThan" id="{ACEFE1FF-0329-490E-889A-0EEAC2F74DCD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K20</xm:sqref>
        </x14:conditionalFormatting>
        <x14:conditionalFormatting xmlns:xm="http://schemas.microsoft.com/office/excel/2006/main">
          <x14:cfRule type="cellIs" priority="3" operator="greaterThan" id="{B1F926CF-1556-4EF3-AC38-B5D7E10695E4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0F3B-F50A-46FF-8112-179BFE238088}">
  <sheetPr>
    <pageSetUpPr fitToPage="1"/>
  </sheetPr>
  <dimension ref="A1:Z47"/>
  <sheetViews>
    <sheetView workbookViewId="0">
      <selection activeCell="G5" sqref="G5"/>
    </sheetView>
  </sheetViews>
  <sheetFormatPr defaultRowHeight="15" outlineLevelCol="1"/>
  <cols>
    <col min="1" max="1" width="36.42578125" bestFit="1" customWidth="1"/>
    <col min="2" max="2" width="33.28515625" customWidth="1"/>
    <col min="3" max="3" width="11.7109375" customWidth="1"/>
    <col min="4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23.140625" customWidth="1"/>
    <col min="11" max="11" width="10.7109375" customWidth="1" collapsed="1"/>
    <col min="12" max="12" width="3.7109375" customWidth="1"/>
    <col min="13" max="15" width="10.7109375" customWidth="1"/>
    <col min="16" max="16" width="10.7109375" hidden="1" customWidth="1" outlineLevel="1"/>
    <col min="17" max="22" width="12.7109375" hidden="1" customWidth="1" outlineLevel="1"/>
    <col min="23" max="23" width="3" hidden="1" customWidth="1" outlineLevel="1"/>
    <col min="24" max="24" width="12.7109375" customWidth="1" collapsed="1"/>
    <col min="25" max="25" width="12.7109375" customWidth="1"/>
  </cols>
  <sheetData>
    <row r="1" spans="1:26" ht="25.5" customHeight="1">
      <c r="A1" s="187" t="s">
        <v>206</v>
      </c>
      <c r="B1" s="677" t="s">
        <v>207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  <c r="X1" s="558"/>
    </row>
    <row r="2" spans="1:26" ht="18.75">
      <c r="A2" s="655" t="s">
        <v>30</v>
      </c>
      <c r="B2" s="656"/>
      <c r="C2" s="656"/>
      <c r="D2" s="656"/>
      <c r="E2" s="656"/>
      <c r="F2" s="656"/>
      <c r="G2" s="656"/>
      <c r="H2" s="657"/>
      <c r="I2" s="7"/>
      <c r="J2" s="491"/>
      <c r="K2" s="491"/>
      <c r="L2" s="491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7"/>
    </row>
    <row r="3" spans="1:26" ht="15.75" customHeight="1">
      <c r="A3" s="561"/>
      <c r="B3" s="562"/>
      <c r="C3" s="658" t="s">
        <v>158</v>
      </c>
      <c r="D3" s="659"/>
      <c r="E3" s="658"/>
      <c r="F3" s="659"/>
      <c r="G3" s="660" t="s">
        <v>36</v>
      </c>
      <c r="H3" s="661"/>
      <c r="I3" s="562"/>
      <c r="J3" s="670" t="s">
        <v>138</v>
      </c>
      <c r="K3" s="671"/>
      <c r="L3" s="563"/>
      <c r="M3" s="666" t="s">
        <v>13</v>
      </c>
      <c r="N3" s="667"/>
      <c r="O3" s="564"/>
      <c r="P3" s="564"/>
      <c r="Q3" s="564"/>
      <c r="R3" s="564"/>
      <c r="S3" s="564"/>
      <c r="T3" s="564"/>
      <c r="U3" s="564"/>
      <c r="V3" s="564"/>
      <c r="W3" s="565"/>
      <c r="X3" s="566"/>
    </row>
    <row r="4" spans="1:26" ht="16.5" customHeight="1">
      <c r="A4" s="216" t="s">
        <v>40</v>
      </c>
      <c r="B4" s="5" t="s">
        <v>41</v>
      </c>
      <c r="C4" s="77">
        <f>K4</f>
        <v>55000</v>
      </c>
      <c r="E4" s="77"/>
      <c r="G4" s="142">
        <f>E4+C4</f>
        <v>55000</v>
      </c>
      <c r="H4" s="80"/>
      <c r="J4" s="349" t="s">
        <v>64</v>
      </c>
      <c r="K4" s="502">
        <v>55000</v>
      </c>
      <c r="L4" s="110"/>
      <c r="M4" s="29" t="s">
        <v>195</v>
      </c>
      <c r="N4" s="28" t="s">
        <v>167</v>
      </c>
      <c r="O4" s="154" t="s">
        <v>208</v>
      </c>
      <c r="P4" s="154"/>
      <c r="Q4" s="29"/>
      <c r="R4" s="29"/>
      <c r="S4" s="29"/>
      <c r="T4" s="29"/>
      <c r="U4" s="29"/>
      <c r="V4" s="29"/>
      <c r="W4" s="29"/>
      <c r="X4" s="559" t="s">
        <v>49</v>
      </c>
    </row>
    <row r="5" spans="1:26">
      <c r="A5" s="216" t="s">
        <v>51</v>
      </c>
      <c r="B5" s="5" t="s">
        <v>52</v>
      </c>
      <c r="C5" s="161">
        <f>C6+C7+C8+C9+C10+C11+C13+C14+C17+C15+C12</f>
        <v>43039.989039974796</v>
      </c>
      <c r="D5" s="5"/>
      <c r="E5" s="161">
        <f>E6+E7+E8+E9+E10+E11+E13+E14+E17+E15+E12</f>
        <v>0</v>
      </c>
      <c r="F5" s="5"/>
      <c r="G5" s="143">
        <f>G6+G7+G8+G9+G10+G11+G13+G14+G17+G15+G12+G18</f>
        <v>43039.989039974796</v>
      </c>
      <c r="H5" s="81"/>
      <c r="J5" s="399" t="s">
        <v>67</v>
      </c>
      <c r="K5" s="507"/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542"/>
    </row>
    <row r="6" spans="1:26">
      <c r="A6" s="217" t="s">
        <v>54</v>
      </c>
      <c r="B6" s="75" t="s">
        <v>55</v>
      </c>
      <c r="C6" s="127">
        <f>75.43+1388.66+156.65+27.87+24.83+96.7+7.99+112.7+14.15+58+20.29+56.85+7+206.3+39.92+129.35+69.35+21.72+32.9+18.72+38.9+184.24+109.65</f>
        <v>2898.1699999999996</v>
      </c>
      <c r="D6" s="13">
        <f>C6+C7+C8</f>
        <v>7336.3899999999994</v>
      </c>
      <c r="E6" s="147"/>
      <c r="F6" s="83">
        <f>E6+E7+E8</f>
        <v>0</v>
      </c>
      <c r="G6" s="169">
        <f>C6+E6</f>
        <v>2898.1699999999996</v>
      </c>
      <c r="H6" s="84">
        <f>G6+G7+G8</f>
        <v>7336.3899999999994</v>
      </c>
      <c r="J6" s="351" t="s">
        <v>71</v>
      </c>
      <c r="K6" s="352">
        <v>96.48</v>
      </c>
      <c r="M6" s="40">
        <f>X6/2</f>
        <v>340</v>
      </c>
      <c r="N6" s="40">
        <f>M6</f>
        <v>340</v>
      </c>
      <c r="O6" s="40"/>
      <c r="P6" s="40"/>
      <c r="Q6" s="40"/>
      <c r="R6" s="40"/>
      <c r="S6" s="41"/>
      <c r="T6" s="41"/>
      <c r="U6" s="41"/>
      <c r="V6" s="41"/>
      <c r="W6" s="41"/>
      <c r="X6" s="218">
        <v>680</v>
      </c>
    </row>
    <row r="7" spans="1:26" ht="24.75">
      <c r="A7" s="219" t="s">
        <v>56</v>
      </c>
      <c r="B7" s="86" t="s">
        <v>57</v>
      </c>
      <c r="C7" s="126">
        <f>103.62+350</f>
        <v>453.62</v>
      </c>
      <c r="D7" s="13"/>
      <c r="E7" s="133"/>
      <c r="F7" s="83"/>
      <c r="G7" s="169">
        <f t="shared" ref="G7:G17" si="0">C7+E7</f>
        <v>453.62</v>
      </c>
      <c r="H7" s="84"/>
      <c r="J7" s="353" t="s">
        <v>74</v>
      </c>
      <c r="K7" s="354" t="s">
        <v>75</v>
      </c>
      <c r="M7" s="49">
        <f>211.52</f>
        <v>211.52</v>
      </c>
      <c r="N7" s="50">
        <v>269.38</v>
      </c>
      <c r="O7" s="50">
        <v>117.88</v>
      </c>
      <c r="P7" s="50"/>
      <c r="Q7" s="50"/>
      <c r="R7" s="50"/>
      <c r="S7" s="51"/>
      <c r="T7" s="51"/>
      <c r="U7" s="51"/>
      <c r="V7" s="51"/>
      <c r="W7" s="51"/>
      <c r="X7" s="443">
        <f t="shared" ref="X7" si="1">M7+N7+O7+P7+Q7+R7+W7+S7+T7+U7+V7</f>
        <v>598.78</v>
      </c>
      <c r="Z7" s="1"/>
    </row>
    <row r="8" spans="1:26">
      <c r="A8" s="220" t="s">
        <v>58</v>
      </c>
      <c r="B8" s="76" t="s">
        <v>59</v>
      </c>
      <c r="C8" s="18">
        <f>39+445.6+3500</f>
        <v>3984.6</v>
      </c>
      <c r="D8" s="14"/>
      <c r="E8" s="14"/>
      <c r="F8" s="88"/>
      <c r="G8" s="169">
        <f t="shared" si="0"/>
        <v>3984.6</v>
      </c>
      <c r="H8" s="89"/>
      <c r="J8" s="355" t="s">
        <v>78</v>
      </c>
      <c r="K8" s="465">
        <v>13</v>
      </c>
      <c r="X8" s="221"/>
    </row>
    <row r="9" spans="1:26">
      <c r="A9" s="217" t="s">
        <v>60</v>
      </c>
      <c r="B9" s="75" t="s">
        <v>61</v>
      </c>
      <c r="C9" s="257">
        <f>((752.24*15+121.3*14.5+121.07*13.5)-C13)*1.42</f>
        <v>14806.1909</v>
      </c>
      <c r="D9" s="141">
        <f>C9+C10+C11+C13+C12</f>
        <v>27862.889039974802</v>
      </c>
      <c r="E9" s="148"/>
      <c r="F9" s="128">
        <f>E9+E10+E11+E13+E12</f>
        <v>0</v>
      </c>
      <c r="G9" s="21">
        <f t="shared" si="0"/>
        <v>14806.1909</v>
      </c>
      <c r="H9" s="90">
        <f>G9+G10+G11+G13+G12</f>
        <v>27862.889039974802</v>
      </c>
      <c r="J9" s="357" t="s">
        <v>81</v>
      </c>
      <c r="K9" s="358">
        <v>12</v>
      </c>
      <c r="X9" s="221"/>
    </row>
    <row r="10" spans="1:26">
      <c r="A10" s="219" t="s">
        <v>62</v>
      </c>
      <c r="B10" s="86" t="s">
        <v>63</v>
      </c>
      <c r="C10" s="259">
        <f>C9*0.2359</f>
        <v>3492.7804333099998</v>
      </c>
      <c r="D10" s="13"/>
      <c r="E10" s="145">
        <f>E9*0.2359</f>
        <v>0</v>
      </c>
      <c r="F10" s="83"/>
      <c r="G10" s="22">
        <f t="shared" si="0"/>
        <v>3492.7804333099998</v>
      </c>
      <c r="H10" s="89"/>
      <c r="X10" s="221"/>
    </row>
    <row r="11" spans="1:26">
      <c r="A11" s="219" t="s">
        <v>65</v>
      </c>
      <c r="B11" s="86" t="s">
        <v>66</v>
      </c>
      <c r="C11" s="259">
        <f>(C9+C10)*0.08</f>
        <v>1463.9177066648001</v>
      </c>
      <c r="D11" s="13"/>
      <c r="E11" s="145">
        <f>(E9+E10)*0.08</f>
        <v>0</v>
      </c>
      <c r="F11" s="83"/>
      <c r="G11" s="22">
        <f t="shared" si="0"/>
        <v>1463.9177066648001</v>
      </c>
      <c r="H11" s="89"/>
      <c r="J11" s="674" t="s">
        <v>85</v>
      </c>
      <c r="K11" s="675"/>
      <c r="X11" s="221"/>
    </row>
    <row r="12" spans="1:26">
      <c r="A12" s="222" t="s">
        <v>68</v>
      </c>
      <c r="B12" s="92" t="s">
        <v>21</v>
      </c>
      <c r="C12" s="259">
        <f>(C4)*0.07</f>
        <v>3850.0000000000005</v>
      </c>
      <c r="D12" s="127"/>
      <c r="E12" s="127">
        <f t="shared" ref="E12" si="2">(E4)*0.07</f>
        <v>0</v>
      </c>
      <c r="F12" s="123"/>
      <c r="G12" s="22">
        <f t="shared" si="0"/>
        <v>3850.0000000000005</v>
      </c>
      <c r="H12" s="89"/>
      <c r="J12" s="359" t="s">
        <v>50</v>
      </c>
      <c r="K12" s="360">
        <v>6238.99</v>
      </c>
      <c r="X12" s="221"/>
    </row>
    <row r="13" spans="1:26">
      <c r="A13" s="219" t="s">
        <v>69</v>
      </c>
      <c r="B13" s="86" t="s">
        <v>70</v>
      </c>
      <c r="C13" s="260">
        <f>17*5*50</f>
        <v>4250</v>
      </c>
      <c r="D13" s="134"/>
      <c r="E13" s="150"/>
      <c r="F13" s="125"/>
      <c r="G13" s="23">
        <f t="shared" si="0"/>
        <v>4250</v>
      </c>
      <c r="H13" s="93"/>
      <c r="J13" s="361" t="s">
        <v>53</v>
      </c>
      <c r="K13" s="362">
        <f>G6+G7</f>
        <v>3351.7899999999995</v>
      </c>
      <c r="X13" s="221"/>
    </row>
    <row r="14" spans="1:26">
      <c r="A14" s="223" t="s">
        <v>72</v>
      </c>
      <c r="B14" s="75" t="s">
        <v>73</v>
      </c>
      <c r="C14" s="20">
        <f>1905+872.73</f>
        <v>2777.73</v>
      </c>
      <c r="D14" s="13">
        <f>C14+C17+C15</f>
        <v>7840.71</v>
      </c>
      <c r="E14" s="147"/>
      <c r="F14" s="131">
        <f>E14+E17+E15</f>
        <v>0</v>
      </c>
      <c r="G14" s="169">
        <f t="shared" si="0"/>
        <v>2777.73</v>
      </c>
      <c r="H14" s="89">
        <f>G14+G17+G15+G18</f>
        <v>7840.71</v>
      </c>
      <c r="X14" s="221"/>
    </row>
    <row r="15" spans="1:26">
      <c r="A15" s="224" t="s">
        <v>76</v>
      </c>
      <c r="B15" s="86" t="s">
        <v>77</v>
      </c>
      <c r="C15" s="127">
        <f>191.99+216.66+345.62+47.4+241.92+53.38+152.95</f>
        <v>1249.92</v>
      </c>
      <c r="D15" s="13"/>
      <c r="E15" s="133"/>
      <c r="F15" s="83"/>
      <c r="G15" s="169">
        <f t="shared" si="0"/>
        <v>1249.92</v>
      </c>
      <c r="H15" s="89"/>
      <c r="J15" s="651" t="s">
        <v>89</v>
      </c>
      <c r="K15" s="652"/>
      <c r="X15" s="221"/>
      <c r="Z15" s="1"/>
    </row>
    <row r="16" spans="1:26">
      <c r="A16" s="224" t="s">
        <v>139</v>
      </c>
      <c r="B16" s="86" t="s">
        <v>140</v>
      </c>
      <c r="C16" s="126">
        <f>22.5+161.39+447.77+47.4+5.9+9.58+5*50+20.89+21.48+307.6+82.21</f>
        <v>1376.72</v>
      </c>
      <c r="D16" s="13"/>
      <c r="E16" s="252"/>
      <c r="F16" s="13"/>
      <c r="G16" s="9">
        <f t="shared" si="0"/>
        <v>1376.72</v>
      </c>
      <c r="H16" s="1"/>
      <c r="I16" s="229"/>
      <c r="J16" s="359" t="s">
        <v>50</v>
      </c>
      <c r="K16" s="360">
        <v>17771.54</v>
      </c>
      <c r="X16" s="221"/>
    </row>
    <row r="17" spans="1:24">
      <c r="A17" s="219" t="s">
        <v>79</v>
      </c>
      <c r="B17" s="86" t="s">
        <v>80</v>
      </c>
      <c r="C17" s="126">
        <f>181.57+41.66+27.72+3.65+40+6.5*2+10.5*2+60+193.01+35.01*2+37.41+17.41+18.06+6.9+13.4+1.49+13.34+4.2+46.4+8.4+115.39+12.95+3.46+32.97+5.14+87.11+2737.4</f>
        <v>3813.06</v>
      </c>
      <c r="D17" s="13"/>
      <c r="E17" s="145"/>
      <c r="F17" s="83"/>
      <c r="G17" s="169">
        <f>C17+E17</f>
        <v>3813.06</v>
      </c>
      <c r="H17" s="89"/>
      <c r="J17" s="363" t="s">
        <v>53</v>
      </c>
      <c r="K17" s="434">
        <f>H9-G12</f>
        <v>24012.889039974802</v>
      </c>
      <c r="X17" s="221"/>
    </row>
    <row r="18" spans="1:24">
      <c r="A18" s="219"/>
      <c r="B18" s="86"/>
      <c r="C18" s="259"/>
      <c r="D18" s="83"/>
      <c r="E18" s="126"/>
      <c r="F18" s="83"/>
      <c r="G18" s="169"/>
      <c r="H18" s="89"/>
      <c r="J18" s="511" t="s">
        <v>141</v>
      </c>
      <c r="K18" s="512">
        <f>K17/X7</f>
        <v>40.103024549876089</v>
      </c>
      <c r="M18" s="631" t="s">
        <v>90</v>
      </c>
      <c r="N18" s="632"/>
      <c r="O18" s="554"/>
      <c r="P18" s="554"/>
      <c r="Q18" s="554"/>
      <c r="R18" s="554"/>
      <c r="S18" s="554"/>
      <c r="T18" s="554"/>
      <c r="U18" s="554"/>
      <c r="V18" s="554"/>
      <c r="W18" s="555"/>
      <c r="X18" s="324"/>
    </row>
    <row r="19" spans="1:24" ht="24" customHeight="1">
      <c r="A19" s="216" t="s">
        <v>82</v>
      </c>
      <c r="B19" s="5" t="s">
        <v>83</v>
      </c>
      <c r="C19" s="157">
        <f>C4-C5</f>
        <v>11960.010960025204</v>
      </c>
      <c r="D19" s="121">
        <f>C19/C4</f>
        <v>0.21745474472773096</v>
      </c>
      <c r="E19" s="157">
        <f>E4-E5</f>
        <v>0</v>
      </c>
      <c r="F19" s="122" t="e">
        <f>E19/E4</f>
        <v>#DIV/0!</v>
      </c>
      <c r="G19" s="15">
        <f>G4-G5</f>
        <v>11960.010960025204</v>
      </c>
      <c r="H19" s="96">
        <f>G19/G4</f>
        <v>0.21745474472773096</v>
      </c>
      <c r="M19" s="29" t="s">
        <v>195</v>
      </c>
      <c r="N19" s="28" t="s">
        <v>167</v>
      </c>
      <c r="O19" s="154" t="s">
        <v>208</v>
      </c>
      <c r="P19" s="154"/>
      <c r="Q19" s="29"/>
      <c r="R19" s="29"/>
      <c r="S19" s="28"/>
      <c r="T19" s="28"/>
      <c r="U19" s="28"/>
      <c r="V19" s="28"/>
      <c r="W19" s="28"/>
      <c r="X19" s="543" t="s">
        <v>49</v>
      </c>
    </row>
    <row r="20" spans="1:24" ht="14.25">
      <c r="A20" s="393" t="s">
        <v>142</v>
      </c>
      <c r="B20" s="339" t="s">
        <v>143</v>
      </c>
      <c r="C20" s="339"/>
      <c r="D20" s="339"/>
      <c r="E20" s="339"/>
      <c r="F20" s="339"/>
      <c r="G20" s="494">
        <f>K4-42347.69</f>
        <v>12652.309999999998</v>
      </c>
      <c r="H20" s="184">
        <f>G20/K4</f>
        <v>0.23004199999999997</v>
      </c>
      <c r="J20" s="373" t="s">
        <v>100</v>
      </c>
      <c r="K20" s="374"/>
      <c r="M20" s="66">
        <v>1</v>
      </c>
      <c r="N20" s="66">
        <v>2</v>
      </c>
      <c r="O20" s="66">
        <v>3</v>
      </c>
      <c r="P20" s="66">
        <v>4</v>
      </c>
      <c r="Q20" s="66">
        <v>5</v>
      </c>
      <c r="R20" s="66">
        <v>6</v>
      </c>
      <c r="S20" s="66">
        <v>7</v>
      </c>
      <c r="T20" s="66">
        <v>8</v>
      </c>
      <c r="U20" s="66">
        <v>9</v>
      </c>
      <c r="V20" s="66">
        <v>10</v>
      </c>
      <c r="W20" s="66">
        <v>11</v>
      </c>
      <c r="X20" s="544"/>
    </row>
    <row r="21" spans="1:24">
      <c r="A21" s="225"/>
      <c r="B21" s="98"/>
      <c r="C21" s="98"/>
      <c r="D21" s="98"/>
      <c r="E21" s="98"/>
      <c r="F21" s="98"/>
      <c r="H21" s="99"/>
      <c r="J21" s="367" t="s">
        <v>50</v>
      </c>
      <c r="K21" s="368">
        <f>X6/K6</f>
        <v>7.048092868988391</v>
      </c>
      <c r="M21" s="69">
        <f>X21/2</f>
        <v>2400</v>
      </c>
      <c r="N21" s="69">
        <f>M21</f>
        <v>2400</v>
      </c>
      <c r="O21" s="69"/>
      <c r="P21" s="69"/>
      <c r="Q21" s="69"/>
      <c r="R21" s="69"/>
      <c r="S21" s="69"/>
      <c r="T21" s="69"/>
      <c r="U21" s="69"/>
      <c r="V21" s="69"/>
      <c r="W21" s="69"/>
      <c r="X21" s="326">
        <f>K26</f>
        <v>4800</v>
      </c>
    </row>
    <row r="22" spans="1:24" ht="22.5" customHeight="1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370">
        <f>X7/K6</f>
        <v>6.2062603648424535</v>
      </c>
      <c r="M22" s="71">
        <f>G15+G14-241.92-872.73</f>
        <v>2913</v>
      </c>
      <c r="N22" s="72">
        <v>241.92</v>
      </c>
      <c r="O22" s="72">
        <v>872.73</v>
      </c>
      <c r="P22" s="72"/>
      <c r="Q22" s="72"/>
      <c r="R22" s="72"/>
      <c r="S22" s="72"/>
      <c r="T22" s="72"/>
      <c r="U22" s="72"/>
      <c r="V22" s="72"/>
      <c r="W22" s="72"/>
      <c r="X22" s="398">
        <f t="shared" ref="X22" si="3">M22+N22+O22+P22+Q22+R22+W22+S22+T22+U22+V22</f>
        <v>4027.65</v>
      </c>
    </row>
    <row r="23" spans="1:24">
      <c r="A23" s="226" t="s">
        <v>88</v>
      </c>
      <c r="B23" s="449">
        <f>H6/G5</f>
        <v>0.17045520139854328</v>
      </c>
      <c r="C23" s="410">
        <f>6238.99/42347.69</f>
        <v>0.14732775270622789</v>
      </c>
      <c r="D23" s="103"/>
      <c r="E23" s="103"/>
      <c r="F23" s="103"/>
      <c r="H23" s="99"/>
      <c r="J23" s="365" t="s">
        <v>146</v>
      </c>
      <c r="K23" s="366">
        <f>K22*K18</f>
        <v>248.88981177419984</v>
      </c>
      <c r="X23" s="221"/>
    </row>
    <row r="24" spans="1:24">
      <c r="A24" s="227" t="s">
        <v>89</v>
      </c>
      <c r="B24" s="449">
        <f>H9/G5</f>
        <v>0.64737212210012951</v>
      </c>
      <c r="C24" s="410">
        <f>17771.54/42347.69</f>
        <v>0.41965783729879952</v>
      </c>
      <c r="D24" s="103"/>
      <c r="E24" s="103"/>
      <c r="F24" s="103"/>
      <c r="H24" s="99"/>
      <c r="X24" s="221"/>
    </row>
    <row r="25" spans="1:24" ht="27" customHeight="1">
      <c r="A25" s="489" t="s">
        <v>91</v>
      </c>
      <c r="B25" s="484">
        <f>H14/G5</f>
        <v>0.18217267650132726</v>
      </c>
      <c r="C25" s="381">
        <f>18506.15/42347.69</f>
        <v>0.43700494643273341</v>
      </c>
      <c r="D25" s="103"/>
      <c r="E25" s="103"/>
      <c r="F25" s="103"/>
      <c r="H25" s="99"/>
      <c r="J25" s="371" t="s">
        <v>90</v>
      </c>
      <c r="K25" s="372"/>
      <c r="X25" s="221"/>
    </row>
    <row r="26" spans="1:24" ht="27.75" customHeight="1">
      <c r="A26" s="229"/>
      <c r="H26" s="99"/>
      <c r="J26" s="359" t="s">
        <v>50</v>
      </c>
      <c r="K26" s="360">
        <v>4800</v>
      </c>
      <c r="X26" s="221"/>
    </row>
    <row r="27" spans="1:24">
      <c r="A27" s="229"/>
      <c r="H27" s="99"/>
      <c r="J27" s="363" t="s">
        <v>53</v>
      </c>
      <c r="K27" s="364">
        <f>G14+G15</f>
        <v>4027.65</v>
      </c>
      <c r="X27" s="221"/>
    </row>
    <row r="28" spans="1:24" ht="30.75">
      <c r="A28" s="229"/>
      <c r="H28" s="99"/>
      <c r="J28" s="490" t="s">
        <v>147</v>
      </c>
      <c r="K28" s="366">
        <f>G14/X7</f>
        <v>4.6389825979491635</v>
      </c>
      <c r="X28" s="221"/>
    </row>
    <row r="29" spans="1:24">
      <c r="A29" s="229"/>
      <c r="H29" s="99"/>
      <c r="X29" s="221"/>
    </row>
    <row r="30" spans="1:24">
      <c r="A30" s="229"/>
      <c r="H30" s="99"/>
      <c r="J30" s="189" t="s">
        <v>92</v>
      </c>
      <c r="K30" s="136"/>
      <c r="X30" s="221"/>
    </row>
    <row r="31" spans="1:24" ht="30.75">
      <c r="A31" s="229"/>
      <c r="H31" s="99"/>
      <c r="J31" s="10" t="s">
        <v>93</v>
      </c>
      <c r="K31" s="136">
        <f>G8</f>
        <v>3984.6</v>
      </c>
      <c r="X31" s="221"/>
    </row>
    <row r="32" spans="1:24">
      <c r="A32" s="229"/>
      <c r="H32" s="99"/>
      <c r="X32" s="221"/>
    </row>
    <row r="33" spans="1:24">
      <c r="A33" s="229"/>
      <c r="H33" s="99"/>
      <c r="J33" s="673" t="s">
        <v>94</v>
      </c>
      <c r="K33" s="673"/>
      <c r="X33" s="221"/>
    </row>
    <row r="34" spans="1:24">
      <c r="A34" s="229"/>
      <c r="J34" s="672">
        <v>45604</v>
      </c>
      <c r="K34" s="672"/>
      <c r="X34" s="221"/>
    </row>
    <row r="35" spans="1:24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2"/>
    </row>
    <row r="37" spans="1:24">
      <c r="I37" s="1"/>
    </row>
    <row r="38" spans="1:24">
      <c r="C38" t="s">
        <v>164</v>
      </c>
    </row>
    <row r="39" spans="1:24">
      <c r="C39" t="s">
        <v>209</v>
      </c>
      <c r="D39">
        <v>348.01</v>
      </c>
    </row>
    <row r="47" spans="1:24">
      <c r="A47" s="680"/>
      <c r="B47" s="680"/>
    </row>
  </sheetData>
  <mergeCells count="13">
    <mergeCell ref="M18:N18"/>
    <mergeCell ref="M3:N3"/>
    <mergeCell ref="A47:B47"/>
    <mergeCell ref="A2:H2"/>
    <mergeCell ref="C3:D3"/>
    <mergeCell ref="E3:F3"/>
    <mergeCell ref="G3:H3"/>
    <mergeCell ref="J34:K34"/>
    <mergeCell ref="B1:L1"/>
    <mergeCell ref="J3:K3"/>
    <mergeCell ref="J11:K11"/>
    <mergeCell ref="J15:K15"/>
    <mergeCell ref="J33:K3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E14C4A75-10C6-4B4E-8F8B-C89EA79FD3CC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91D07424-D6AD-447C-BC4D-F5387BCFE9B9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4" operator="greaterThan" id="{2FDD964C-E62E-4AA1-854D-08434A531A02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K20</xm:sqref>
        </x14:conditionalFormatting>
        <x14:conditionalFormatting xmlns:xm="http://schemas.microsoft.com/office/excel/2006/main">
          <x14:cfRule type="cellIs" priority="3" operator="greaterThan" id="{6FE181CB-9756-4812-A6BE-C7BBED824BC7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F7A8-953F-4319-9AE9-D46CF4E5B5BA}">
  <sheetPr>
    <pageSetUpPr fitToPage="1"/>
  </sheetPr>
  <dimension ref="A1:Z38"/>
  <sheetViews>
    <sheetView topLeftCell="A17" workbookViewId="0">
      <selection activeCell="J37" sqref="J37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2.5703125" customWidth="1"/>
    <col min="6" max="8" width="10.7109375" customWidth="1"/>
    <col min="9" max="9" width="3.28515625" customWidth="1"/>
    <col min="10" max="10" width="22.85546875" customWidth="1"/>
    <col min="11" max="11" width="10.7109375" customWidth="1" collapsed="1"/>
    <col min="12" max="12" width="3.7109375" customWidth="1"/>
    <col min="13" max="13" width="10.7109375" customWidth="1" collapsed="1"/>
    <col min="14" max="14" width="10.7109375" customWidth="1"/>
    <col min="15" max="16" width="10.7109375" hidden="1" customWidth="1" outlineLevel="1"/>
    <col min="17" max="22" width="12.7109375" hidden="1" customWidth="1" outlineLevel="1"/>
    <col min="23" max="23" width="2.28515625" hidden="1" customWidth="1" outlineLevel="1"/>
    <col min="24" max="24" width="12.7109375" customWidth="1" collapsed="1"/>
    <col min="25" max="25" width="12.7109375" customWidth="1"/>
  </cols>
  <sheetData>
    <row r="1" spans="1:26" ht="25.5" customHeight="1">
      <c r="A1" s="187" t="s">
        <v>210</v>
      </c>
      <c r="B1" s="677" t="s">
        <v>211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187"/>
      <c r="N1" s="187"/>
      <c r="O1" s="187"/>
      <c r="P1" s="187"/>
    </row>
    <row r="2" spans="1:26" ht="18.75">
      <c r="A2" s="681" t="s">
        <v>30</v>
      </c>
      <c r="B2" s="636"/>
      <c r="C2" s="636"/>
      <c r="D2" s="636"/>
      <c r="E2" s="636"/>
      <c r="F2" s="636"/>
      <c r="G2" s="636"/>
      <c r="H2" s="637"/>
      <c r="I2" s="7"/>
      <c r="J2" s="491"/>
      <c r="K2" s="491"/>
      <c r="L2" s="491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6"/>
    </row>
    <row r="3" spans="1:26" ht="15.75" customHeight="1">
      <c r="A3" s="229"/>
      <c r="C3" s="640" t="s">
        <v>173</v>
      </c>
      <c r="D3" s="641"/>
      <c r="E3" s="640" t="s">
        <v>158</v>
      </c>
      <c r="F3" s="641"/>
      <c r="G3" s="642" t="s">
        <v>36</v>
      </c>
      <c r="H3" s="643"/>
      <c r="J3" s="670" t="s">
        <v>138</v>
      </c>
      <c r="K3" s="671"/>
      <c r="L3" s="110"/>
      <c r="M3" s="541" t="s">
        <v>13</v>
      </c>
      <c r="N3" s="475"/>
      <c r="O3" s="475"/>
      <c r="P3" s="475"/>
      <c r="Q3" s="475"/>
      <c r="R3" s="475"/>
      <c r="S3" s="475"/>
      <c r="T3" s="475"/>
      <c r="U3" s="475"/>
      <c r="V3" s="475"/>
      <c r="W3" s="476"/>
      <c r="X3" s="324"/>
    </row>
    <row r="4" spans="1:26" ht="24.75" customHeight="1">
      <c r="A4" s="216" t="s">
        <v>40</v>
      </c>
      <c r="B4" s="5" t="s">
        <v>41</v>
      </c>
      <c r="C4" s="77">
        <f>(K4+K5)/2</f>
        <v>19500</v>
      </c>
      <c r="E4" s="77">
        <f>(K4+K5)/2</f>
        <v>19500</v>
      </c>
      <c r="G4" s="142">
        <f>E4+C4</f>
        <v>39000</v>
      </c>
      <c r="H4" s="80"/>
      <c r="J4" s="349" t="s">
        <v>64</v>
      </c>
      <c r="K4" s="502">
        <v>39000</v>
      </c>
      <c r="L4" s="110"/>
      <c r="M4" s="158" t="s">
        <v>174</v>
      </c>
      <c r="N4" s="29" t="s">
        <v>175</v>
      </c>
      <c r="O4" s="28" t="s">
        <v>212</v>
      </c>
      <c r="P4" s="154" t="s">
        <v>213</v>
      </c>
      <c r="Q4" s="29"/>
      <c r="R4" s="29"/>
      <c r="S4" s="29"/>
      <c r="T4" s="29"/>
      <c r="U4" s="29"/>
      <c r="V4" s="29"/>
      <c r="W4" s="29"/>
      <c r="X4" s="559" t="s">
        <v>49</v>
      </c>
    </row>
    <row r="5" spans="1:26" ht="15" customHeight="1">
      <c r="A5" s="216" t="s">
        <v>51</v>
      </c>
      <c r="B5" s="5" t="s">
        <v>52</v>
      </c>
      <c r="C5" s="161">
        <f>C6+C7+C8+C9+C10+C11+C13+C14+C17+C15+C12</f>
        <v>20702.347583892002</v>
      </c>
      <c r="D5" s="5"/>
      <c r="E5" s="161">
        <f>E6+E7+E8+E9+E10+E11+E13+E14+E17+E15+E12</f>
        <v>8136.6900000000005</v>
      </c>
      <c r="F5" s="5"/>
      <c r="G5" s="143">
        <f>G6+G7+G8+G9+G10+G11+G13+G14+G17+G15+G12+G18</f>
        <v>28839.037583892001</v>
      </c>
      <c r="H5" s="81"/>
      <c r="J5" s="399" t="s">
        <v>67</v>
      </c>
      <c r="K5" s="507"/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542"/>
    </row>
    <row r="6" spans="1:26">
      <c r="A6" s="217" t="s">
        <v>54</v>
      </c>
      <c r="B6" s="75" t="s">
        <v>55</v>
      </c>
      <c r="C6" s="127">
        <f>992.01+312.77+260.42+153.76+133.67+180.67+154.5+41.95+6.3+8.95+7.15+27.98+2.65+27.8+27.35</f>
        <v>2337.9300000000003</v>
      </c>
      <c r="D6" s="13">
        <f>C6+C7+C8</f>
        <v>7165.49</v>
      </c>
      <c r="E6" s="147"/>
      <c r="F6" s="83">
        <f>E6+E7+E8</f>
        <v>5792.6900000000005</v>
      </c>
      <c r="G6" s="169">
        <f>C6+E6</f>
        <v>2337.9300000000003</v>
      </c>
      <c r="H6" s="84">
        <f>G6+G7+G8</f>
        <v>12958.18</v>
      </c>
      <c r="J6" s="351" t="s">
        <v>71</v>
      </c>
      <c r="K6" s="352">
        <f>59.19+14.4</f>
        <v>73.59</v>
      </c>
      <c r="M6" s="40">
        <f>X6/2</f>
        <v>187.875</v>
      </c>
      <c r="N6" s="40">
        <f>M6</f>
        <v>187.875</v>
      </c>
      <c r="O6" s="40"/>
      <c r="P6" s="40"/>
      <c r="Q6" s="40"/>
      <c r="R6" s="40"/>
      <c r="S6" s="41"/>
      <c r="T6" s="41"/>
      <c r="U6" s="41"/>
      <c r="V6" s="41"/>
      <c r="W6" s="41"/>
      <c r="X6" s="218">
        <f>375.75</f>
        <v>375.75</v>
      </c>
    </row>
    <row r="7" spans="1:26" ht="30.75">
      <c r="A7" s="219" t="s">
        <v>56</v>
      </c>
      <c r="B7" s="86" t="s">
        <v>57</v>
      </c>
      <c r="C7" s="126">
        <f>103.43+57.13</f>
        <v>160.56</v>
      </c>
      <c r="D7" s="13"/>
      <c r="E7" s="133">
        <f>930+890</f>
        <v>1820</v>
      </c>
      <c r="F7" s="83"/>
      <c r="G7" s="169">
        <f t="shared" ref="G7:G17" si="0">C7+E7</f>
        <v>1980.56</v>
      </c>
      <c r="H7" s="84"/>
      <c r="J7" s="353" t="s">
        <v>74</v>
      </c>
      <c r="K7" s="354" t="s">
        <v>75</v>
      </c>
      <c r="M7" s="168">
        <v>145.57</v>
      </c>
      <c r="N7" s="50">
        <v>94.9</v>
      </c>
      <c r="O7" s="50"/>
      <c r="P7" s="50"/>
      <c r="Q7" s="50"/>
      <c r="R7" s="50"/>
      <c r="S7" s="51"/>
      <c r="T7" s="51"/>
      <c r="U7" s="51"/>
      <c r="V7" s="51"/>
      <c r="W7" s="51"/>
      <c r="X7" s="325">
        <f t="shared" ref="X7" si="1">M7+N7+O7+P7+Q7+R7+W7+S7+T7+U7+V7</f>
        <v>240.47</v>
      </c>
      <c r="Y7" s="120">
        <f>X6-X7</f>
        <v>135.28</v>
      </c>
      <c r="Z7" s="1"/>
    </row>
    <row r="8" spans="1:26">
      <c r="A8" s="220" t="s">
        <v>58</v>
      </c>
      <c r="B8" s="76" t="s">
        <v>59</v>
      </c>
      <c r="C8" s="18">
        <f>3733.6/8*10</f>
        <v>4667</v>
      </c>
      <c r="D8" s="14"/>
      <c r="E8" s="14">
        <f>695.19+1049+2228.5</f>
        <v>3972.69</v>
      </c>
      <c r="F8" s="88"/>
      <c r="G8" s="169">
        <f t="shared" si="0"/>
        <v>8639.69</v>
      </c>
      <c r="H8" s="89"/>
      <c r="J8" s="355" t="s">
        <v>78</v>
      </c>
      <c r="K8" s="465">
        <v>13</v>
      </c>
      <c r="X8" s="221"/>
    </row>
    <row r="9" spans="1:26">
      <c r="A9" s="217" t="s">
        <v>60</v>
      </c>
      <c r="B9" s="75" t="s">
        <v>61</v>
      </c>
      <c r="C9" s="257">
        <f>((1297.55+1174.7+1257.3+450*3)-C13)*1.42</f>
        <v>4869.9610000000002</v>
      </c>
      <c r="D9" s="141">
        <f>C9+C10+C11+C13+C12</f>
        <v>9515.2875838920008</v>
      </c>
      <c r="E9" s="249"/>
      <c r="F9" s="128">
        <f>E9+E10+E11+E13+E12</f>
        <v>1815.0000000000002</v>
      </c>
      <c r="G9" s="21">
        <f t="shared" si="0"/>
        <v>4869.9610000000002</v>
      </c>
      <c r="H9" s="90">
        <f>G9+G10+G11+G13+G12</f>
        <v>11330.287583892001</v>
      </c>
      <c r="J9" s="357" t="s">
        <v>81</v>
      </c>
      <c r="K9" s="358">
        <v>12</v>
      </c>
      <c r="X9" s="221"/>
    </row>
    <row r="10" spans="1:26">
      <c r="A10" s="219" t="s">
        <v>62</v>
      </c>
      <c r="B10" s="86" t="s">
        <v>63</v>
      </c>
      <c r="C10" s="126">
        <f>C9*0.2359</f>
        <v>1148.8237999</v>
      </c>
      <c r="D10" s="13"/>
      <c r="E10" s="250">
        <f>E9*0.2359</f>
        <v>0</v>
      </c>
      <c r="F10" s="83"/>
      <c r="G10" s="22">
        <f t="shared" si="0"/>
        <v>1148.8237999</v>
      </c>
      <c r="H10" s="89"/>
      <c r="X10" s="221"/>
      <c r="Y10" s="1"/>
    </row>
    <row r="11" spans="1:26" ht="15" customHeight="1">
      <c r="A11" s="219" t="s">
        <v>65</v>
      </c>
      <c r="B11" s="86" t="s">
        <v>66</v>
      </c>
      <c r="C11" s="126">
        <f>(C9+C10)*0.08</f>
        <v>481.50278399200005</v>
      </c>
      <c r="D11" s="13"/>
      <c r="E11" s="250">
        <f>(E9+E10)*0.08</f>
        <v>0</v>
      </c>
      <c r="F11" s="83"/>
      <c r="G11" s="22">
        <f t="shared" si="0"/>
        <v>481.50278399200005</v>
      </c>
      <c r="H11" s="89"/>
      <c r="J11" s="674" t="s">
        <v>85</v>
      </c>
      <c r="K11" s="675"/>
      <c r="X11" s="221"/>
    </row>
    <row r="12" spans="1:26">
      <c r="A12" s="222" t="s">
        <v>68</v>
      </c>
      <c r="B12" s="92" t="s">
        <v>21</v>
      </c>
      <c r="C12" s="127">
        <f>(C4)*0.07</f>
        <v>1365.0000000000002</v>
      </c>
      <c r="D12" s="127"/>
      <c r="E12" s="259">
        <f t="shared" ref="E12" si="2">(E4)*0.07</f>
        <v>1365.0000000000002</v>
      </c>
      <c r="F12" s="123"/>
      <c r="G12" s="22">
        <f t="shared" si="0"/>
        <v>2730.0000000000005</v>
      </c>
      <c r="H12" s="89"/>
      <c r="J12" s="359" t="s">
        <v>50</v>
      </c>
      <c r="K12" s="360">
        <f>3244.78</f>
        <v>3244.78</v>
      </c>
      <c r="X12" s="221"/>
    </row>
    <row r="13" spans="1:26">
      <c r="A13" s="219" t="s">
        <v>69</v>
      </c>
      <c r="B13" s="86" t="s">
        <v>70</v>
      </c>
      <c r="C13" s="130">
        <f>11*3*50</f>
        <v>1650</v>
      </c>
      <c r="D13" s="134"/>
      <c r="E13" s="251">
        <f>3*3*50</f>
        <v>450</v>
      </c>
      <c r="F13" s="125"/>
      <c r="G13" s="23">
        <f t="shared" si="0"/>
        <v>2100</v>
      </c>
      <c r="H13" s="93"/>
      <c r="J13" s="361" t="s">
        <v>53</v>
      </c>
      <c r="K13" s="362">
        <f>G6+G7</f>
        <v>4318.49</v>
      </c>
      <c r="X13" s="221"/>
    </row>
    <row r="14" spans="1:26" ht="27.75" customHeight="1">
      <c r="A14" s="223" t="s">
        <v>72</v>
      </c>
      <c r="B14" s="75" t="s">
        <v>73</v>
      </c>
      <c r="C14" s="577">
        <v>2010.89</v>
      </c>
      <c r="D14" s="13">
        <f>C14+C17+C15</f>
        <v>4021.5700000000006</v>
      </c>
      <c r="E14" s="147">
        <v>258</v>
      </c>
      <c r="F14" s="131">
        <f>E14+E17+E15</f>
        <v>529</v>
      </c>
      <c r="G14" s="169">
        <f t="shared" si="0"/>
        <v>2268.8900000000003</v>
      </c>
      <c r="H14" s="89">
        <f>G14+G17+G15+G18</f>
        <v>4550.5700000000006</v>
      </c>
      <c r="X14" s="221"/>
      <c r="Z14" s="1">
        <f>G14+G15</f>
        <v>2546.4800000000005</v>
      </c>
    </row>
    <row r="15" spans="1:26">
      <c r="A15" s="224" t="s">
        <v>76</v>
      </c>
      <c r="B15" s="86" t="s">
        <v>77</v>
      </c>
      <c r="C15" s="127">
        <v>172.59</v>
      </c>
      <c r="D15" s="13"/>
      <c r="E15" s="133">
        <v>105</v>
      </c>
      <c r="F15" s="83"/>
      <c r="G15" s="169">
        <f t="shared" si="0"/>
        <v>277.59000000000003</v>
      </c>
      <c r="H15" s="89"/>
      <c r="J15" s="651" t="s">
        <v>89</v>
      </c>
      <c r="K15" s="652"/>
      <c r="X15" s="221"/>
      <c r="Z15">
        <f>Z14/X7</f>
        <v>10.589595375722546</v>
      </c>
    </row>
    <row r="16" spans="1:26">
      <c r="A16" s="224" t="s">
        <v>139</v>
      </c>
      <c r="B16" s="86" t="s">
        <v>140</v>
      </c>
      <c r="C16" s="126"/>
      <c r="D16" s="13"/>
      <c r="E16" s="252"/>
      <c r="F16" s="13"/>
      <c r="G16" s="9">
        <f t="shared" si="0"/>
        <v>0</v>
      </c>
      <c r="H16" s="1"/>
      <c r="I16" s="229"/>
      <c r="J16" s="359" t="s">
        <v>50</v>
      </c>
      <c r="K16" s="360">
        <f>10685.56</f>
        <v>10685.56</v>
      </c>
      <c r="X16" s="221"/>
    </row>
    <row r="17" spans="1:24">
      <c r="A17" s="219" t="s">
        <v>79</v>
      </c>
      <c r="B17" s="86" t="s">
        <v>80</v>
      </c>
      <c r="C17" s="126">
        <f>134.83+125+27.72+82.75+84.07+1383.72</f>
        <v>1838.0900000000001</v>
      </c>
      <c r="D17" s="13"/>
      <c r="E17" s="145">
        <f>10.5+6.5+149</f>
        <v>166</v>
      </c>
      <c r="F17" s="83"/>
      <c r="G17" s="169">
        <f>C17+E17</f>
        <v>2004.0900000000001</v>
      </c>
      <c r="H17" s="89"/>
      <c r="J17" s="363" t="s">
        <v>53</v>
      </c>
      <c r="K17" s="364">
        <f>H9-G12</f>
        <v>8600.2875838920008</v>
      </c>
      <c r="X17" s="221"/>
    </row>
    <row r="18" spans="1:24">
      <c r="A18" s="219"/>
      <c r="B18" s="86"/>
      <c r="C18" s="126"/>
      <c r="D18" s="83"/>
      <c r="E18" s="126"/>
      <c r="F18" s="83"/>
      <c r="G18" s="169"/>
      <c r="H18" s="89"/>
      <c r="J18" s="511" t="s">
        <v>141</v>
      </c>
      <c r="K18" s="512">
        <f>K17/X7</f>
        <v>35.764492801147753</v>
      </c>
      <c r="X18" s="221"/>
    </row>
    <row r="19" spans="1:24" ht="20.25" customHeight="1">
      <c r="A19" s="216" t="s">
        <v>82</v>
      </c>
      <c r="B19" s="5" t="s">
        <v>83</v>
      </c>
      <c r="C19" s="157">
        <f>C4-C5</f>
        <v>-1202.3475838920021</v>
      </c>
      <c r="D19" s="121">
        <f>C19/C4</f>
        <v>-6.1658850456000107E-2</v>
      </c>
      <c r="E19" s="157">
        <f>E4-E5</f>
        <v>11363.31</v>
      </c>
      <c r="F19" s="122">
        <f>E19/E4</f>
        <v>0.58273384615384616</v>
      </c>
      <c r="G19" s="15">
        <f>G4-G5</f>
        <v>10160.962416107999</v>
      </c>
      <c r="H19" s="96">
        <f>G19/G4</f>
        <v>0.26053749784892305</v>
      </c>
      <c r="M19" s="541" t="s">
        <v>90</v>
      </c>
      <c r="N19" s="475"/>
      <c r="O19" s="475"/>
      <c r="P19" s="475"/>
      <c r="Q19" s="475"/>
      <c r="R19" s="475"/>
      <c r="S19" s="475"/>
      <c r="T19" s="475"/>
      <c r="U19" s="475"/>
      <c r="V19" s="475"/>
      <c r="W19" s="476"/>
      <c r="X19" s="324"/>
    </row>
    <row r="20" spans="1:24" ht="24" customHeight="1">
      <c r="A20" s="393" t="s">
        <v>142</v>
      </c>
      <c r="B20" s="339" t="s">
        <v>143</v>
      </c>
      <c r="C20" s="339"/>
      <c r="D20" s="339"/>
      <c r="E20" s="339"/>
      <c r="F20" s="339"/>
      <c r="G20" s="494">
        <f>K4-30125.14</f>
        <v>8874.86</v>
      </c>
      <c r="H20" s="184">
        <f>G20/K4</f>
        <v>0.22756051282051284</v>
      </c>
      <c r="J20" s="373" t="s">
        <v>100</v>
      </c>
      <c r="K20" s="374"/>
      <c r="M20" s="158" t="s">
        <v>174</v>
      </c>
      <c r="N20" s="29" t="s">
        <v>175</v>
      </c>
      <c r="O20" s="28" t="s">
        <v>212</v>
      </c>
      <c r="P20" s="154" t="s">
        <v>213</v>
      </c>
      <c r="Q20" s="29" t="s">
        <v>214</v>
      </c>
      <c r="R20" s="29" t="s">
        <v>215</v>
      </c>
      <c r="S20" s="28"/>
      <c r="T20" s="28"/>
      <c r="U20" s="28"/>
      <c r="V20" s="28"/>
      <c r="W20" s="28"/>
      <c r="X20" s="543" t="s">
        <v>49</v>
      </c>
    </row>
    <row r="21" spans="1:24" ht="15" customHeight="1">
      <c r="A21" s="225"/>
      <c r="B21" s="98"/>
      <c r="C21" s="98"/>
      <c r="D21" s="98"/>
      <c r="E21" s="98"/>
      <c r="F21" s="98"/>
      <c r="H21" s="99"/>
      <c r="J21" s="367" t="s">
        <v>50</v>
      </c>
      <c r="K21" s="368">
        <f>X6/K6</f>
        <v>5.1059926620464733</v>
      </c>
      <c r="M21" s="66">
        <v>1</v>
      </c>
      <c r="N21" s="66">
        <v>2</v>
      </c>
      <c r="O21" s="66">
        <v>3</v>
      </c>
      <c r="P21" s="66">
        <v>4</v>
      </c>
      <c r="Q21" s="66">
        <v>5</v>
      </c>
      <c r="R21" s="66">
        <v>6</v>
      </c>
      <c r="S21" s="66">
        <v>7</v>
      </c>
      <c r="T21" s="66">
        <v>8</v>
      </c>
      <c r="U21" s="66">
        <v>9</v>
      </c>
      <c r="V21" s="66">
        <v>10</v>
      </c>
      <c r="W21" s="66">
        <v>11</v>
      </c>
      <c r="X21" s="544"/>
    </row>
    <row r="22" spans="1:24" ht="30.75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370">
        <f>X7/K6</f>
        <v>3.2676994156814785</v>
      </c>
      <c r="M22" s="69">
        <f>X22/2</f>
        <v>1900</v>
      </c>
      <c r="N22" s="69">
        <f>M22</f>
        <v>1900</v>
      </c>
      <c r="O22" s="69"/>
      <c r="P22" s="69"/>
      <c r="Q22" s="69"/>
      <c r="R22" s="69"/>
      <c r="S22" s="69"/>
      <c r="T22" s="69"/>
      <c r="U22" s="69"/>
      <c r="V22" s="69"/>
      <c r="W22" s="69"/>
      <c r="X22" s="326">
        <f>K26</f>
        <v>3800</v>
      </c>
    </row>
    <row r="23" spans="1:24">
      <c r="A23" s="226" t="s">
        <v>88</v>
      </c>
      <c r="B23" s="449">
        <f>H6/G5</f>
        <v>0.44932775451694584</v>
      </c>
      <c r="C23" s="410">
        <f>(3244.78)/(30125.14)</f>
        <v>0.10771003885791071</v>
      </c>
      <c r="D23" s="103"/>
      <c r="E23" s="103"/>
      <c r="F23" s="103"/>
      <c r="H23" s="99"/>
      <c r="J23" s="365" t="s">
        <v>146</v>
      </c>
      <c r="K23" s="366">
        <f>K22*K18</f>
        <v>116.86761222845496</v>
      </c>
      <c r="M23" s="71">
        <f>C14+C15</f>
        <v>2183.48</v>
      </c>
      <c r="N23" s="72">
        <f>258+105</f>
        <v>363</v>
      </c>
      <c r="O23" s="72"/>
      <c r="P23" s="72"/>
      <c r="Q23" s="72"/>
      <c r="R23" s="72"/>
      <c r="S23" s="72"/>
      <c r="T23" s="72"/>
      <c r="U23" s="72"/>
      <c r="V23" s="72"/>
      <c r="W23" s="72"/>
      <c r="X23" s="436">
        <f t="shared" ref="X23" si="3">M23+N23+O23+P23+Q23+R23+W23+S23+T23+U23+V23</f>
        <v>2546.48</v>
      </c>
    </row>
    <row r="24" spans="1:24">
      <c r="A24" s="227" t="s">
        <v>89</v>
      </c>
      <c r="B24" s="449">
        <f>H9/G5</f>
        <v>0.39288022531724553</v>
      </c>
      <c r="C24" s="410">
        <f>(10685.56)/(30125.14)</f>
        <v>0.3547057374671122</v>
      </c>
      <c r="D24" s="103"/>
      <c r="E24" s="103"/>
      <c r="F24" s="103"/>
      <c r="H24" s="99"/>
      <c r="X24" s="221"/>
    </row>
    <row r="25" spans="1:24">
      <c r="A25" s="489" t="s">
        <v>91</v>
      </c>
      <c r="B25" s="484">
        <f>H14/G5</f>
        <v>0.15779202016580868</v>
      </c>
      <c r="C25" s="381">
        <f>(16194.81)/(30125.14)</f>
        <v>0.53758455562364194</v>
      </c>
      <c r="D25" s="103"/>
      <c r="E25" s="103"/>
      <c r="F25" s="103"/>
      <c r="H25" s="99"/>
      <c r="J25" s="371" t="s">
        <v>90</v>
      </c>
      <c r="K25" s="372"/>
      <c r="X25" s="221"/>
    </row>
    <row r="26" spans="1:24" ht="27.75" customHeight="1">
      <c r="A26" s="229"/>
      <c r="H26" s="99"/>
      <c r="J26" s="359" t="s">
        <v>50</v>
      </c>
      <c r="K26" s="360">
        <f>3800</f>
        <v>3800</v>
      </c>
      <c r="X26" s="221"/>
    </row>
    <row r="27" spans="1:24" ht="27.75" customHeight="1">
      <c r="A27" s="229"/>
      <c r="H27" s="99"/>
      <c r="J27" s="363" t="s">
        <v>53</v>
      </c>
      <c r="K27" s="364">
        <f>X23</f>
        <v>2546.48</v>
      </c>
      <c r="X27" s="221"/>
    </row>
    <row r="28" spans="1:24" ht="30.75">
      <c r="A28" s="229"/>
      <c r="H28" s="99"/>
      <c r="J28" s="490" t="s">
        <v>147</v>
      </c>
      <c r="K28" s="366">
        <f>K27/X7</f>
        <v>10.589595375722544</v>
      </c>
      <c r="X28" s="221"/>
    </row>
    <row r="29" spans="1:24">
      <c r="A29" s="229"/>
      <c r="H29" s="99"/>
      <c r="X29" s="221"/>
    </row>
    <row r="30" spans="1:24">
      <c r="A30" s="229"/>
      <c r="H30" s="99"/>
      <c r="J30" s="189" t="s">
        <v>92</v>
      </c>
      <c r="K30" s="136"/>
      <c r="X30" s="221"/>
    </row>
    <row r="31" spans="1:24" ht="30.75">
      <c r="A31" s="229"/>
      <c r="H31" s="99"/>
      <c r="J31" s="10" t="s">
        <v>93</v>
      </c>
      <c r="K31" s="136">
        <f>G8</f>
        <v>8639.69</v>
      </c>
      <c r="X31" s="221"/>
    </row>
    <row r="32" spans="1:24">
      <c r="A32" s="229"/>
      <c r="H32" s="99"/>
      <c r="X32" s="221"/>
    </row>
    <row r="33" spans="1:24">
      <c r="A33" s="229"/>
      <c r="H33" s="99"/>
      <c r="J33" s="673" t="s">
        <v>94</v>
      </c>
      <c r="K33" s="673"/>
      <c r="X33" s="221"/>
    </row>
    <row r="34" spans="1:24">
      <c r="A34" s="229"/>
      <c r="J34" s="672">
        <v>45691</v>
      </c>
      <c r="K34" s="672"/>
      <c r="X34" s="221"/>
    </row>
    <row r="35" spans="1:24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2"/>
    </row>
    <row r="38" spans="1:24">
      <c r="I38" s="1"/>
    </row>
  </sheetData>
  <mergeCells count="10">
    <mergeCell ref="J33:K33"/>
    <mergeCell ref="J34:K34"/>
    <mergeCell ref="B1:L1"/>
    <mergeCell ref="J3:K3"/>
    <mergeCell ref="J11:K11"/>
    <mergeCell ref="J15:K15"/>
    <mergeCell ref="A2:H2"/>
    <mergeCell ref="C3:D3"/>
    <mergeCell ref="E3:F3"/>
    <mergeCell ref="G3:H3"/>
  </mergeCells>
  <pageMargins left="0.7" right="0.7" top="0.75" bottom="0.75" header="0.3" footer="0.3"/>
  <pageSetup paperSize="9" orientation="landscape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1D305AB5-C46D-4B7C-80E6-84385F33C390}">
            <xm:f>SEI!#REF!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K18</xm:sqref>
        </x14:conditionalFormatting>
        <x14:conditionalFormatting xmlns:xm="http://schemas.microsoft.com/office/excel/2006/main">
          <x14:cfRule type="cellIs" priority="2" operator="greaterThan" id="{CD2D1966-6F56-48B1-8C6F-A395C7912B72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ellIs" priority="4" operator="greaterThan" id="{7E9ACEF3-26FE-40B6-BC0B-7BEC435943E3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K20</xm:sqref>
        </x14:conditionalFormatting>
        <x14:conditionalFormatting xmlns:xm="http://schemas.microsoft.com/office/excel/2006/main">
          <x14:cfRule type="cellIs" priority="3" operator="greaterThan" id="{025A25B7-9BA3-4F2B-A1BB-BFDD7217DA51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K23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2026-B66A-47AB-9191-D5214736C723}">
  <sheetPr>
    <pageSetUpPr fitToPage="1"/>
  </sheetPr>
  <dimension ref="A1:AD50"/>
  <sheetViews>
    <sheetView workbookViewId="0">
      <selection activeCell="I5" sqref="I5"/>
    </sheetView>
  </sheetViews>
  <sheetFormatPr defaultRowHeight="15" outlineLevelCol="1"/>
  <cols>
    <col min="1" max="1" width="36.42578125" bestFit="1" customWidth="1"/>
    <col min="2" max="2" width="28.7109375" customWidth="1"/>
    <col min="3" max="3" width="12.5703125" customWidth="1"/>
    <col min="4" max="4" width="10.7109375" customWidth="1"/>
    <col min="5" max="5" width="10.7109375" customWidth="1" outlineLevel="1"/>
    <col min="6" max="6" width="10.140625" customWidth="1" outlineLevel="1"/>
    <col min="7" max="7" width="10.7109375" customWidth="1" outlineLevel="1"/>
    <col min="8" max="8" width="10.140625" customWidth="1" outlineLevel="1"/>
    <col min="9" max="10" width="10.7109375" customWidth="1"/>
    <col min="11" max="11" width="3.28515625" customWidth="1"/>
    <col min="12" max="12" width="23.7109375" customWidth="1"/>
    <col min="13" max="13" width="18.140625" bestFit="1" customWidth="1"/>
    <col min="14" max="14" width="2.85546875" customWidth="1"/>
    <col min="15" max="15" width="20.7109375" hidden="1" customWidth="1" outlineLevel="1"/>
    <col min="16" max="16" width="6.7109375" customWidth="1" collapsed="1"/>
    <col min="17" max="23" width="6.7109375" customWidth="1"/>
    <col min="24" max="25" width="12.7109375" hidden="1" customWidth="1" outlineLevel="1"/>
    <col min="26" max="26" width="2.140625" hidden="1" customWidth="1" outlineLevel="1"/>
    <col min="27" max="27" width="12.7109375" customWidth="1" collapsed="1"/>
    <col min="28" max="28" width="12.7109375" customWidth="1"/>
  </cols>
  <sheetData>
    <row r="1" spans="1:30" ht="25.5" customHeight="1">
      <c r="A1" s="187" t="s">
        <v>216</v>
      </c>
      <c r="B1" s="677" t="s">
        <v>217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677"/>
      <c r="AA1" s="677"/>
    </row>
    <row r="2" spans="1:30" ht="18.75">
      <c r="A2" s="681" t="s">
        <v>30</v>
      </c>
      <c r="B2" s="636"/>
      <c r="C2" s="636"/>
      <c r="D2" s="636"/>
      <c r="E2" s="636"/>
      <c r="F2" s="636"/>
      <c r="G2" s="636"/>
      <c r="H2" s="636"/>
      <c r="I2" s="636"/>
      <c r="J2" s="637"/>
      <c r="K2" s="7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91"/>
      <c r="AA2" s="492"/>
    </row>
    <row r="3" spans="1:30" ht="15.75" customHeight="1">
      <c r="A3" s="229"/>
      <c r="C3" s="640" t="s">
        <v>192</v>
      </c>
      <c r="D3" s="641"/>
      <c r="E3" s="640" t="s">
        <v>173</v>
      </c>
      <c r="F3" s="641"/>
      <c r="G3" s="640" t="s">
        <v>158</v>
      </c>
      <c r="H3" s="641"/>
      <c r="I3" s="642" t="s">
        <v>36</v>
      </c>
      <c r="J3" s="643"/>
      <c r="L3" s="670" t="s">
        <v>138</v>
      </c>
      <c r="M3" s="671"/>
      <c r="N3" s="110"/>
      <c r="O3" s="24" t="s">
        <v>37</v>
      </c>
      <c r="P3" s="631" t="s">
        <v>13</v>
      </c>
      <c r="Q3" s="632"/>
      <c r="R3" s="632"/>
      <c r="S3" s="632"/>
      <c r="T3" s="632"/>
      <c r="U3" s="632"/>
      <c r="V3" s="632"/>
      <c r="W3" s="632"/>
      <c r="X3" s="632"/>
      <c r="Y3" s="632"/>
      <c r="Z3" s="633"/>
      <c r="AA3" s="324"/>
    </row>
    <row r="4" spans="1:30" ht="20.25" customHeight="1">
      <c r="A4" s="216" t="s">
        <v>40</v>
      </c>
      <c r="B4" s="5" t="s">
        <v>41</v>
      </c>
      <c r="C4" s="77">
        <f>(M4+M5)/3</f>
        <v>24632.100000000002</v>
      </c>
      <c r="E4" s="77">
        <f>(M4+M5)/3*2</f>
        <v>49264.200000000004</v>
      </c>
      <c r="G4" s="77"/>
      <c r="I4" s="142">
        <f>E4+C4+G4</f>
        <v>73896.3</v>
      </c>
      <c r="J4" s="80"/>
      <c r="L4" s="349" t="s">
        <v>64</v>
      </c>
      <c r="M4" s="502">
        <v>68000</v>
      </c>
      <c r="N4" s="110"/>
      <c r="O4" s="27" t="s">
        <v>42</v>
      </c>
      <c r="P4" s="188" t="s">
        <v>218</v>
      </c>
      <c r="Q4" s="160" t="s">
        <v>219</v>
      </c>
      <c r="R4" s="188" t="s">
        <v>220</v>
      </c>
      <c r="S4" s="487" t="s">
        <v>186</v>
      </c>
      <c r="T4" s="160" t="s">
        <v>174</v>
      </c>
      <c r="U4" s="160" t="s">
        <v>221</v>
      </c>
      <c r="V4" s="589">
        <v>45536</v>
      </c>
      <c r="W4" s="160"/>
      <c r="X4" s="29"/>
      <c r="Y4" s="29"/>
      <c r="Z4" s="29"/>
      <c r="AA4" s="682" t="s">
        <v>49</v>
      </c>
    </row>
    <row r="5" spans="1:30">
      <c r="A5" s="216" t="s">
        <v>51</v>
      </c>
      <c r="B5" s="5" t="s">
        <v>52</v>
      </c>
      <c r="C5" s="161">
        <f>C6+C7+C8+C9+C10+C11+C13+C14+C17+C15+C12</f>
        <v>18952.009409112001</v>
      </c>
      <c r="D5" s="5"/>
      <c r="E5" s="161">
        <f>E6+E7+E8+E9+E10+E11+E13+E14+E17+E15+E12</f>
        <v>39557.283012301596</v>
      </c>
      <c r="F5" s="5"/>
      <c r="G5" s="161">
        <f>G6+G7+G8+G9+G10+G11+G13+G14+G17+G15+G12</f>
        <v>2786.5087386787995</v>
      </c>
      <c r="H5" s="5"/>
      <c r="I5" s="143">
        <f>I6+I7+I8+I9+I10+I11+I13+I14+I17+I15+I12+I18</f>
        <v>61295.8011600924</v>
      </c>
      <c r="J5" s="81"/>
      <c r="L5" s="399" t="s">
        <v>67</v>
      </c>
      <c r="M5" s="400">
        <v>5896.3</v>
      </c>
      <c r="O5" s="32"/>
      <c r="P5" s="74">
        <v>1</v>
      </c>
      <c r="Q5" s="74">
        <v>2</v>
      </c>
      <c r="R5" s="74">
        <v>3</v>
      </c>
      <c r="S5" s="74">
        <v>4</v>
      </c>
      <c r="T5" s="74">
        <v>5</v>
      </c>
      <c r="U5" s="74">
        <v>6</v>
      </c>
      <c r="V5" s="33">
        <v>7</v>
      </c>
      <c r="W5" s="33">
        <v>8</v>
      </c>
      <c r="X5" s="33">
        <v>9</v>
      </c>
      <c r="Y5" s="33">
        <v>10</v>
      </c>
      <c r="Z5" s="33">
        <v>11</v>
      </c>
      <c r="AA5" s="683"/>
    </row>
    <row r="6" spans="1:30">
      <c r="A6" s="217" t="s">
        <v>54</v>
      </c>
      <c r="B6" s="75" t="s">
        <v>55</v>
      </c>
      <c r="C6" s="127">
        <f>250.25+2070.8+1280.89+326.24+71.57+66+342.33+64.3+31.9+111.18+109.16+59.94+23.95+52.97+105.68+34.7+132.62+157.83</f>
        <v>5292.31</v>
      </c>
      <c r="D6" s="13">
        <f>C6+C7+C8</f>
        <v>6897.31</v>
      </c>
      <c r="E6" s="147">
        <f>254.98+39.95+114.16+30.47+319.25+5.34+6.62+22.29+16.12+41.03+39.45+44.8+13.38+34.65+18.08+7.15+22.65+7.9+67.45+29.6+16.84+29.8+9.5+23.75+29.9+15.85+53.01+14.95</f>
        <v>1328.92</v>
      </c>
      <c r="F6" s="83">
        <f>E6+E7+E8</f>
        <v>21146.699999999997</v>
      </c>
      <c r="G6" s="127"/>
      <c r="H6" s="83">
        <f>G6+G7+G8</f>
        <v>391.9</v>
      </c>
      <c r="I6" s="169">
        <f>C6+E6+G6</f>
        <v>6621.2300000000005</v>
      </c>
      <c r="J6" s="84">
        <f>I6+I7+I8</f>
        <v>28435.91</v>
      </c>
      <c r="L6" s="351" t="s">
        <v>71</v>
      </c>
      <c r="M6" s="352">
        <v>53.5</v>
      </c>
      <c r="O6" s="39"/>
      <c r="P6" s="40">
        <f>AA6/5</f>
        <v>143.04400000000001</v>
      </c>
      <c r="Q6" s="40">
        <f>P6</f>
        <v>143.04400000000001</v>
      </c>
      <c r="R6" s="40">
        <f>P6</f>
        <v>143.04400000000001</v>
      </c>
      <c r="S6" s="40">
        <f>P6</f>
        <v>143.04400000000001</v>
      </c>
      <c r="T6" s="40">
        <f>P6</f>
        <v>143.04400000000001</v>
      </c>
      <c r="U6" s="40"/>
      <c r="V6" s="41"/>
      <c r="W6" s="41"/>
      <c r="X6" s="41"/>
      <c r="Y6" s="41"/>
      <c r="Z6" s="41"/>
      <c r="AA6" s="397">
        <v>715.22</v>
      </c>
    </row>
    <row r="7" spans="1:30">
      <c r="A7" s="219" t="s">
        <v>56</v>
      </c>
      <c r="B7" s="86" t="s">
        <v>57</v>
      </c>
      <c r="C7" s="126">
        <f>670+450+450</f>
        <v>1570</v>
      </c>
      <c r="D7" s="13"/>
      <c r="E7" s="133"/>
      <c r="F7" s="83"/>
      <c r="G7" s="20"/>
      <c r="H7" s="83"/>
      <c r="I7" s="169">
        <f t="shared" ref="I7:I18" si="0">C7+E7+G7</f>
        <v>1570</v>
      </c>
      <c r="J7" s="84"/>
      <c r="L7" s="353" t="s">
        <v>74</v>
      </c>
      <c r="M7" s="354" t="s">
        <v>75</v>
      </c>
      <c r="O7" s="48"/>
      <c r="P7" s="49">
        <v>73</v>
      </c>
      <c r="Q7" s="50">
        <v>148</v>
      </c>
      <c r="R7" s="50">
        <v>107.68</v>
      </c>
      <c r="S7" s="50">
        <v>217.4</v>
      </c>
      <c r="T7" s="50">
        <v>188.4</v>
      </c>
      <c r="U7" s="50">
        <v>30.75</v>
      </c>
      <c r="V7" s="51">
        <f>45+16</f>
        <v>61</v>
      </c>
      <c r="W7" s="51"/>
      <c r="X7" s="51"/>
      <c r="Y7" s="51"/>
      <c r="Z7" s="51"/>
      <c r="AA7" s="493">
        <f t="shared" ref="AA7" si="1">P7+Q7+R7+S7+T7+U7+Z7+V7+W7+X7+Y7</f>
        <v>826.23</v>
      </c>
      <c r="AB7" t="s">
        <v>222</v>
      </c>
      <c r="AD7" s="1"/>
    </row>
    <row r="8" spans="1:30">
      <c r="A8" s="220" t="s">
        <v>58</v>
      </c>
      <c r="B8" s="76" t="s">
        <v>59</v>
      </c>
      <c r="C8" s="18">
        <v>35</v>
      </c>
      <c r="D8" s="14"/>
      <c r="E8" s="583">
        <f>2784.8+1360.55+12027.33+480+2000+1165.1</f>
        <v>19817.78</v>
      </c>
      <c r="F8" s="88"/>
      <c r="G8" s="588">
        <v>391.9</v>
      </c>
      <c r="H8" s="88"/>
      <c r="I8" s="171">
        <f t="shared" si="0"/>
        <v>20244.68</v>
      </c>
      <c r="J8" s="89"/>
      <c r="L8" s="355" t="s">
        <v>78</v>
      </c>
      <c r="M8" s="465">
        <v>13</v>
      </c>
      <c r="AA8" s="221"/>
    </row>
    <row r="9" spans="1:30">
      <c r="A9" s="217" t="s">
        <v>60</v>
      </c>
      <c r="B9" s="75" t="s">
        <v>61</v>
      </c>
      <c r="C9" s="257">
        <f>(3551.3-C13)*1.42</f>
        <v>2486.846</v>
      </c>
      <c r="D9" s="141">
        <f>C9+C10+C11+C13+C12</f>
        <v>6843.6194091120005</v>
      </c>
      <c r="E9" s="148">
        <f>(8018.59-E13)*1.42</f>
        <v>4570.3977999999997</v>
      </c>
      <c r="F9" s="128">
        <f>E9+E10+E11+E13+E12</f>
        <v>14348.933012301599</v>
      </c>
      <c r="G9" s="153">
        <f>((44.76*15+8.9*14.5+8.92*13.5+350+14.75*7.5)-G13)*1.42</f>
        <v>1606.7228999999998</v>
      </c>
      <c r="H9" s="128">
        <f>G9+G10+G11+G13+G12</f>
        <v>2394.6087386787999</v>
      </c>
      <c r="I9" s="169">
        <f t="shared" si="0"/>
        <v>8663.9667000000009</v>
      </c>
      <c r="J9" s="90">
        <f>I9+I10+I11+I13+I12</f>
        <v>23587.161160092401</v>
      </c>
      <c r="L9" s="357" t="s">
        <v>81</v>
      </c>
      <c r="M9" s="358">
        <v>12</v>
      </c>
      <c r="AA9" s="221"/>
    </row>
    <row r="10" spans="1:30">
      <c r="A10" s="219" t="s">
        <v>62</v>
      </c>
      <c r="B10" s="86" t="s">
        <v>63</v>
      </c>
      <c r="C10" s="126">
        <f>C9*0.2359</f>
        <v>586.64697139999998</v>
      </c>
      <c r="D10" s="13"/>
      <c r="E10" s="145">
        <f>E9*0.2359</f>
        <v>1078.15684102</v>
      </c>
      <c r="F10" s="83"/>
      <c r="G10" s="126">
        <f>G9*0.2359</f>
        <v>379.02593210999993</v>
      </c>
      <c r="H10" s="83"/>
      <c r="I10" s="169">
        <f t="shared" si="0"/>
        <v>2043.82974453</v>
      </c>
      <c r="J10" s="89"/>
      <c r="AA10" s="221"/>
    </row>
    <row r="11" spans="1:30">
      <c r="A11" s="219" t="s">
        <v>65</v>
      </c>
      <c r="B11" s="86" t="s">
        <v>66</v>
      </c>
      <c r="C11" s="126">
        <f>(C9+C10)*0.08</f>
        <v>245.879437712</v>
      </c>
      <c r="D11" s="13"/>
      <c r="E11" s="145">
        <f>(E9+E10)*0.08</f>
        <v>451.88437128159995</v>
      </c>
      <c r="F11" s="83"/>
      <c r="G11" s="126">
        <f>(G9+G10)*0.08</f>
        <v>158.85990656879997</v>
      </c>
      <c r="H11" s="83"/>
      <c r="I11" s="169">
        <f t="shared" si="0"/>
        <v>856.62371556239987</v>
      </c>
      <c r="J11" s="89"/>
      <c r="L11" s="674" t="s">
        <v>85</v>
      </c>
      <c r="M11" s="675"/>
      <c r="AA11" s="221"/>
    </row>
    <row r="12" spans="1:30">
      <c r="A12" s="222" t="s">
        <v>68</v>
      </c>
      <c r="B12" s="92" t="s">
        <v>21</v>
      </c>
      <c r="C12" s="127">
        <f>(C4)*0.07</f>
        <v>1724.2470000000003</v>
      </c>
      <c r="D12" s="127"/>
      <c r="E12" s="127">
        <f t="shared" ref="E12:G12" si="2">(E4)*0.07</f>
        <v>3448.4940000000006</v>
      </c>
      <c r="F12" s="123"/>
      <c r="G12" s="127">
        <f t="shared" si="2"/>
        <v>0</v>
      </c>
      <c r="H12" s="123"/>
      <c r="I12" s="169">
        <f t="shared" si="0"/>
        <v>5172.7410000000009</v>
      </c>
      <c r="J12" s="89"/>
      <c r="L12" s="359" t="s">
        <v>50</v>
      </c>
      <c r="M12" s="360">
        <v>6423.92</v>
      </c>
      <c r="AA12" s="221"/>
    </row>
    <row r="13" spans="1:30">
      <c r="A13" s="219" t="s">
        <v>69</v>
      </c>
      <c r="B13" s="86" t="s">
        <v>70</v>
      </c>
      <c r="C13" s="130">
        <f>36*50</f>
        <v>1800</v>
      </c>
      <c r="D13" s="134"/>
      <c r="E13" s="150">
        <f>(18*5+6)*50</f>
        <v>4800</v>
      </c>
      <c r="F13" s="125"/>
      <c r="G13" s="130">
        <f>5*50</f>
        <v>250</v>
      </c>
      <c r="H13" s="125"/>
      <c r="I13" s="171">
        <f t="shared" si="0"/>
        <v>6850</v>
      </c>
      <c r="J13" s="93"/>
      <c r="L13" s="361" t="s">
        <v>53</v>
      </c>
      <c r="M13" s="403">
        <f>I6+I7</f>
        <v>8191.2300000000005</v>
      </c>
      <c r="AA13" s="221"/>
    </row>
    <row r="14" spans="1:30">
      <c r="A14" s="223" t="s">
        <v>72</v>
      </c>
      <c r="B14" s="75" t="s">
        <v>73</v>
      </c>
      <c r="C14" s="20">
        <f>3049.09+28.88+70.87</f>
        <v>3148.84</v>
      </c>
      <c r="D14" s="13">
        <f>C14+C17+C15</f>
        <v>5211.08</v>
      </c>
      <c r="E14" s="147">
        <f>516.6+182.25</f>
        <v>698.85</v>
      </c>
      <c r="F14" s="131">
        <f>E14+E17+E15</f>
        <v>4061.65</v>
      </c>
      <c r="G14" s="127"/>
      <c r="H14" s="131">
        <f>G14+G17+G15</f>
        <v>0</v>
      </c>
      <c r="I14" s="169">
        <f t="shared" si="0"/>
        <v>3847.69</v>
      </c>
      <c r="J14" s="89">
        <f>I14+I17+I15+I18</f>
        <v>9272.7300000000014</v>
      </c>
      <c r="AA14" s="221"/>
    </row>
    <row r="15" spans="1:30">
      <c r="A15" s="224" t="s">
        <v>76</v>
      </c>
      <c r="B15" s="86" t="s">
        <v>77</v>
      </c>
      <c r="C15" s="127">
        <f>186.98+145.47+32.48</f>
        <v>364.93</v>
      </c>
      <c r="D15" s="13"/>
      <c r="E15" s="133"/>
      <c r="F15" s="83"/>
      <c r="G15" s="20"/>
      <c r="H15" s="83"/>
      <c r="I15" s="169">
        <f t="shared" si="0"/>
        <v>364.93</v>
      </c>
      <c r="J15" s="89"/>
      <c r="L15" s="651" t="s">
        <v>89</v>
      </c>
      <c r="M15" s="652"/>
      <c r="AA15" s="221"/>
    </row>
    <row r="16" spans="1:30">
      <c r="A16" s="224" t="s">
        <v>139</v>
      </c>
      <c r="B16" s="86" t="s">
        <v>140</v>
      </c>
      <c r="C16" s="126"/>
      <c r="D16" s="13"/>
      <c r="E16" s="252"/>
      <c r="F16" s="83"/>
      <c r="G16" s="552"/>
      <c r="H16" s="13"/>
      <c r="I16" s="169">
        <f t="shared" si="0"/>
        <v>0</v>
      </c>
      <c r="J16" s="1"/>
      <c r="K16" s="229"/>
      <c r="L16" s="359" t="s">
        <v>50</v>
      </c>
      <c r="M16" s="360">
        <v>17165.25</v>
      </c>
      <c r="AA16" s="221"/>
    </row>
    <row r="17" spans="1:27">
      <c r="A17" s="219" t="s">
        <v>79</v>
      </c>
      <c r="B17" s="86" t="s">
        <v>80</v>
      </c>
      <c r="C17" s="126">
        <f>213.12+24.87+10.78+10+4.4+41.66+27.73+1364.75</f>
        <v>1697.31</v>
      </c>
      <c r="D17" s="13"/>
      <c r="E17" s="497">
        <f>37.5+215.86+85.55+56.89+82.2+72.4+11.5+63.7+1660.8+538.2+538.2</f>
        <v>3362.8</v>
      </c>
      <c r="F17" s="83"/>
      <c r="G17" s="584"/>
      <c r="H17" s="83"/>
      <c r="I17" s="169">
        <f t="shared" si="0"/>
        <v>5060.1100000000006</v>
      </c>
      <c r="J17" s="89"/>
      <c r="L17" s="363" t="s">
        <v>53</v>
      </c>
      <c r="M17" s="434">
        <f>J9-I12</f>
        <v>18414.420160092399</v>
      </c>
      <c r="AA17" s="221"/>
    </row>
    <row r="18" spans="1:27">
      <c r="A18" s="219"/>
      <c r="B18" s="86"/>
      <c r="C18" s="126"/>
      <c r="D18" s="83"/>
      <c r="E18" s="126"/>
      <c r="F18" s="83"/>
      <c r="G18" s="126"/>
      <c r="H18" s="83"/>
      <c r="I18" s="169">
        <f t="shared" si="0"/>
        <v>0</v>
      </c>
      <c r="J18" s="89"/>
      <c r="L18" s="511" t="s">
        <v>141</v>
      </c>
      <c r="M18" s="580">
        <f>M17/AA7</f>
        <v>22.287280975142998</v>
      </c>
      <c r="AA18" s="221"/>
    </row>
    <row r="19" spans="1:27">
      <c r="A19" s="216" t="s">
        <v>82</v>
      </c>
      <c r="B19" s="5" t="s">
        <v>83</v>
      </c>
      <c r="C19" s="157">
        <f>C4-C5</f>
        <v>5680.0905908880013</v>
      </c>
      <c r="D19" s="121">
        <f>C19/C4</f>
        <v>0.23059709041811299</v>
      </c>
      <c r="E19" s="157">
        <f>E4-E5</f>
        <v>9706.9169876984088</v>
      </c>
      <c r="F19" s="122">
        <f>E19/E4</f>
        <v>0.19703795022954615</v>
      </c>
      <c r="G19" s="157">
        <f>G4-G5</f>
        <v>-2786.5087386787995</v>
      </c>
      <c r="H19" s="122" t="e">
        <f>G19/G4</f>
        <v>#DIV/0!</v>
      </c>
      <c r="I19" s="15">
        <f>I4-I5</f>
        <v>12600.498839907603</v>
      </c>
      <c r="J19" s="96">
        <f>I19/I4</f>
        <v>0.17051596412685888</v>
      </c>
      <c r="AA19" s="221"/>
    </row>
    <row r="20" spans="1:27">
      <c r="A20" s="393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494">
        <f>M4-52859.18</f>
        <v>15140.82</v>
      </c>
      <c r="J20" s="184">
        <f>I20/M4</f>
        <v>0.22265911764705881</v>
      </c>
      <c r="L20" s="373" t="s">
        <v>100</v>
      </c>
      <c r="M20" s="374"/>
      <c r="AA20" s="221"/>
    </row>
    <row r="21" spans="1:27" ht="20.25" customHeight="1">
      <c r="A21" s="225"/>
      <c r="B21" s="98"/>
      <c r="C21" s="98"/>
      <c r="D21" s="98"/>
      <c r="E21" s="98"/>
      <c r="F21" s="98"/>
      <c r="G21" s="98"/>
      <c r="H21" s="98"/>
      <c r="J21" s="99"/>
      <c r="L21" s="367" t="s">
        <v>50</v>
      </c>
      <c r="M21" s="368">
        <f>AA6/M6</f>
        <v>13.368598130841121</v>
      </c>
      <c r="O21" s="24" t="s">
        <v>37</v>
      </c>
      <c r="P21" s="631" t="s">
        <v>90</v>
      </c>
      <c r="Q21" s="632"/>
      <c r="R21" s="632"/>
      <c r="S21" s="632"/>
      <c r="T21" s="632"/>
      <c r="U21" s="632"/>
      <c r="V21" s="632"/>
      <c r="W21" s="632"/>
      <c r="X21" s="632"/>
      <c r="Y21" s="632"/>
      <c r="Z21" s="633"/>
      <c r="AA21" s="324"/>
    </row>
    <row r="22" spans="1:27" ht="24" customHeight="1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G22" s="101"/>
      <c r="H22" s="101"/>
      <c r="J22" s="99"/>
      <c r="L22" s="369" t="s">
        <v>53</v>
      </c>
      <c r="M22" s="402">
        <f>AA7/M6</f>
        <v>15.44355140186916</v>
      </c>
      <c r="O22" s="27" t="s">
        <v>42</v>
      </c>
      <c r="P22" s="188" t="s">
        <v>218</v>
      </c>
      <c r="Q22" s="160" t="s">
        <v>219</v>
      </c>
      <c r="R22" s="188" t="s">
        <v>220</v>
      </c>
      <c r="S22" s="487" t="s">
        <v>186</v>
      </c>
      <c r="T22" s="160" t="s">
        <v>174</v>
      </c>
      <c r="U22" s="160"/>
      <c r="V22" s="160"/>
      <c r="W22" s="160"/>
      <c r="X22" s="28"/>
      <c r="Y22" s="28"/>
      <c r="Z22" s="28"/>
      <c r="AA22" s="684" t="s">
        <v>49</v>
      </c>
    </row>
    <row r="23" spans="1:27">
      <c r="A23" s="226" t="s">
        <v>88</v>
      </c>
      <c r="B23" s="449">
        <f>J6/I5</f>
        <v>0.46391285311258235</v>
      </c>
      <c r="C23" s="410">
        <f>6423.92/52859.18</f>
        <v>0.12152893783066632</v>
      </c>
      <c r="D23" s="103"/>
      <c r="E23" s="103"/>
      <c r="F23" s="103"/>
      <c r="G23" s="103"/>
      <c r="H23" s="103"/>
      <c r="J23" s="99"/>
      <c r="L23" s="365" t="s">
        <v>146</v>
      </c>
      <c r="M23" s="366">
        <f>M22*M18</f>
        <v>344.19476934752151</v>
      </c>
      <c r="O23" s="27"/>
      <c r="P23" s="66">
        <v>1</v>
      </c>
      <c r="Q23" s="66">
        <v>2</v>
      </c>
      <c r="R23" s="66">
        <v>3</v>
      </c>
      <c r="S23" s="66">
        <v>4</v>
      </c>
      <c r="T23" s="66">
        <v>5</v>
      </c>
      <c r="U23" s="66">
        <v>6</v>
      </c>
      <c r="V23" s="66">
        <v>7</v>
      </c>
      <c r="W23" s="66">
        <v>8</v>
      </c>
      <c r="X23" s="66">
        <v>9</v>
      </c>
      <c r="Y23" s="66">
        <v>10</v>
      </c>
      <c r="Z23" s="66">
        <v>11</v>
      </c>
      <c r="AA23" s="685"/>
    </row>
    <row r="24" spans="1:27">
      <c r="A24" s="227" t="s">
        <v>89</v>
      </c>
      <c r="B24" s="449">
        <f>J9/I5</f>
        <v>0.38480875873516102</v>
      </c>
      <c r="C24" s="410">
        <f>17165.26/52859.18</f>
        <v>0.32473564667480648</v>
      </c>
      <c r="D24" s="103"/>
      <c r="E24" s="103"/>
      <c r="F24" s="103"/>
      <c r="G24" s="103"/>
      <c r="H24" s="103"/>
      <c r="J24" s="99"/>
      <c r="O24" s="68"/>
      <c r="P24" s="69">
        <f>AA24/5</f>
        <v>740</v>
      </c>
      <c r="Q24" s="69">
        <f>P24</f>
        <v>740</v>
      </c>
      <c r="R24" s="69">
        <f>P24</f>
        <v>740</v>
      </c>
      <c r="S24" s="69">
        <f>P24</f>
        <v>740</v>
      </c>
      <c r="T24" s="69">
        <f>P24</f>
        <v>740</v>
      </c>
      <c r="U24" s="69"/>
      <c r="V24" s="69"/>
      <c r="W24" s="69"/>
      <c r="X24" s="69"/>
      <c r="Y24" s="69"/>
      <c r="Z24" s="69"/>
      <c r="AA24" s="326">
        <f>M26</f>
        <v>3700</v>
      </c>
    </row>
    <row r="25" spans="1:27">
      <c r="A25" s="489" t="s">
        <v>91</v>
      </c>
      <c r="B25" s="484">
        <f>J14/I5</f>
        <v>0.15127838815225664</v>
      </c>
      <c r="C25" s="381">
        <f>29270/52859.18</f>
        <v>0.55373541549452721</v>
      </c>
      <c r="D25" s="103"/>
      <c r="E25" s="103"/>
      <c r="F25" s="103"/>
      <c r="G25" s="103"/>
      <c r="H25" s="103"/>
      <c r="J25" s="99"/>
      <c r="L25" s="371" t="s">
        <v>90</v>
      </c>
      <c r="M25" s="372"/>
      <c r="O25" s="68"/>
      <c r="P25" s="71">
        <f>186.98+70.87</f>
        <v>257.85000000000002</v>
      </c>
      <c r="Q25" s="72">
        <f>3194.54+28.88+32.48</f>
        <v>3255.9</v>
      </c>
      <c r="R25" s="72"/>
      <c r="S25" s="72"/>
      <c r="T25" s="72">
        <f>516.6+182.25</f>
        <v>698.85</v>
      </c>
      <c r="U25" s="72"/>
      <c r="V25" s="72"/>
      <c r="W25" s="72"/>
      <c r="X25" s="72"/>
      <c r="Y25" s="72"/>
      <c r="Z25" s="72"/>
      <c r="AA25" s="436">
        <f>S25+R25+Q25+P25+T25</f>
        <v>4212.6000000000004</v>
      </c>
    </row>
    <row r="26" spans="1:27">
      <c r="A26" s="229"/>
      <c r="J26" s="99"/>
      <c r="L26" s="359" t="s">
        <v>50</v>
      </c>
      <c r="M26" s="360">
        <v>3700</v>
      </c>
      <c r="AA26" s="221"/>
    </row>
    <row r="27" spans="1:27">
      <c r="A27" s="229"/>
      <c r="J27" s="99"/>
      <c r="L27" s="363" t="s">
        <v>53</v>
      </c>
      <c r="M27" s="434">
        <f>AA25</f>
        <v>4212.6000000000004</v>
      </c>
      <c r="AA27" s="221"/>
    </row>
    <row r="28" spans="1:27" ht="30.75">
      <c r="A28" s="229"/>
      <c r="J28" s="99"/>
      <c r="L28" s="490" t="s">
        <v>147</v>
      </c>
      <c r="M28" s="366">
        <f>M27/AA7</f>
        <v>5.0985802984641087</v>
      </c>
      <c r="AA28" s="221"/>
    </row>
    <row r="29" spans="1:27">
      <c r="A29" s="229"/>
      <c r="J29" s="99"/>
      <c r="AA29" s="221"/>
    </row>
    <row r="30" spans="1:27">
      <c r="A30" s="229"/>
      <c r="J30" s="99"/>
      <c r="L30" s="189" t="s">
        <v>92</v>
      </c>
      <c r="M30" s="136"/>
      <c r="AA30" s="221"/>
    </row>
    <row r="31" spans="1:27" ht="30.75">
      <c r="A31" s="229"/>
      <c r="J31" s="99"/>
      <c r="L31" s="10" t="s">
        <v>93</v>
      </c>
      <c r="M31" s="136">
        <f>I8</f>
        <v>20244.68</v>
      </c>
      <c r="AA31" s="221"/>
    </row>
    <row r="32" spans="1:27">
      <c r="A32" s="229"/>
      <c r="J32" s="99"/>
      <c r="AA32" s="221"/>
    </row>
    <row r="33" spans="1:27">
      <c r="A33" s="229"/>
      <c r="J33" s="99"/>
      <c r="L33" s="673" t="s">
        <v>94</v>
      </c>
      <c r="M33" s="673"/>
      <c r="AA33" s="221"/>
    </row>
    <row r="34" spans="1:27">
      <c r="A34" s="229"/>
      <c r="L34" s="672">
        <v>45575</v>
      </c>
      <c r="M34" s="672"/>
      <c r="AA34" s="221"/>
    </row>
    <row r="35" spans="1:27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2"/>
    </row>
    <row r="38" spans="1:27">
      <c r="K38" s="1"/>
    </row>
    <row r="43" spans="1:27">
      <c r="A43" s="88"/>
      <c r="B43" s="485"/>
      <c r="C43" s="88"/>
    </row>
    <row r="44" spans="1:27">
      <c r="A44" s="88"/>
      <c r="B44" s="88"/>
      <c r="C44" s="88"/>
    </row>
    <row r="45" spans="1:27">
      <c r="A45" s="88"/>
      <c r="B45" s="488"/>
      <c r="C45" s="88"/>
    </row>
    <row r="46" spans="1:27">
      <c r="A46" s="88"/>
      <c r="B46" s="88"/>
      <c r="C46" s="88"/>
    </row>
    <row r="47" spans="1:27">
      <c r="A47" s="88"/>
      <c r="B47" s="88"/>
      <c r="C47" s="88"/>
    </row>
    <row r="48" spans="1:27">
      <c r="A48" s="88"/>
      <c r="B48" s="88"/>
      <c r="C48" s="88"/>
    </row>
    <row r="49" spans="1:3">
      <c r="A49" s="88"/>
      <c r="B49" s="88"/>
      <c r="C49" s="88"/>
    </row>
    <row r="50" spans="1:3">
      <c r="A50" s="88"/>
      <c r="B50" s="88"/>
      <c r="C50" s="88"/>
    </row>
  </sheetData>
  <mergeCells count="15">
    <mergeCell ref="B1:AA1"/>
    <mergeCell ref="A2:J2"/>
    <mergeCell ref="C3:D3"/>
    <mergeCell ref="E3:F3"/>
    <mergeCell ref="I3:J3"/>
    <mergeCell ref="L3:M3"/>
    <mergeCell ref="P3:Z3"/>
    <mergeCell ref="G3:H3"/>
    <mergeCell ref="L34:M34"/>
    <mergeCell ref="AA4:AA5"/>
    <mergeCell ref="L11:M11"/>
    <mergeCell ref="L15:M15"/>
    <mergeCell ref="P21:Z21"/>
    <mergeCell ref="AA22:AA23"/>
    <mergeCell ref="L33:M33"/>
  </mergeCells>
  <conditionalFormatting sqref="M18">
    <cfRule type="cellIs" dxfId="74" priority="1" operator="greaterThan">
      <formula>#REF!</formula>
    </cfRule>
  </conditionalFormatting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greaterThan" id="{F9BBBF84-4840-4336-B781-132B00D6ACCD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ellIs" priority="4" operator="greaterThan" id="{DDA6E133-A19A-4778-B032-F0DB281E67AD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M20</xm:sqref>
        </x14:conditionalFormatting>
        <x14:conditionalFormatting xmlns:xm="http://schemas.microsoft.com/office/excel/2006/main">
          <x14:cfRule type="cellIs" priority="3" operator="greaterThan" id="{7ED504CC-DAEB-4808-8C1E-5B3B21688B20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M23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8ADA-B43D-423E-8E9D-EBD0C4BC349D}">
  <sheetPr>
    <pageSetUpPr fitToPage="1"/>
  </sheetPr>
  <dimension ref="A1:AB41"/>
  <sheetViews>
    <sheetView topLeftCell="A19" workbookViewId="0">
      <selection activeCell="L39" sqref="L39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3" customWidth="1"/>
    <col min="4" max="5" width="10.7109375" customWidth="1"/>
    <col min="6" max="6" width="10.140625" customWidth="1"/>
    <col min="7" max="8" width="10.7109375" hidden="1" customWidth="1" outlineLevel="1"/>
    <col min="9" max="9" width="12" customWidth="1" collapsed="1"/>
    <col min="10" max="10" width="9.7109375" customWidth="1"/>
    <col min="11" max="11" width="4.7109375" customWidth="1" collapsed="1"/>
    <col min="12" max="12" width="21.28515625" customWidth="1"/>
    <col min="13" max="13" width="14.5703125" customWidth="1"/>
    <col min="14" max="14" width="5.28515625" customWidth="1"/>
    <col min="15" max="16" width="10.7109375" customWidth="1"/>
    <col min="17" max="17" width="12.7109375" hidden="1" customWidth="1" outlineLevel="1"/>
    <col min="18" max="18" width="10.7109375" hidden="1" customWidth="1" outlineLevel="1"/>
    <col min="19" max="24" width="12.7109375" hidden="1" customWidth="1" outlineLevel="1"/>
    <col min="25" max="25" width="1.42578125" hidden="1" customWidth="1" outlineLevel="1"/>
    <col min="26" max="26" width="15.140625" customWidth="1" collapsed="1"/>
    <col min="27" max="27" width="12.7109375" customWidth="1"/>
  </cols>
  <sheetData>
    <row r="1" spans="1:28" ht="25.5" customHeight="1">
      <c r="A1" s="187" t="s">
        <v>223</v>
      </c>
      <c r="B1" s="187" t="s">
        <v>224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</row>
    <row r="2" spans="1:28" ht="18.75">
      <c r="A2" s="681" t="s">
        <v>30</v>
      </c>
      <c r="B2" s="693"/>
      <c r="C2" s="678"/>
      <c r="D2" s="678"/>
      <c r="E2" s="693"/>
      <c r="F2" s="693"/>
      <c r="G2" s="693"/>
      <c r="H2" s="693"/>
      <c r="I2" s="693"/>
      <c r="J2" s="694"/>
      <c r="K2" s="520"/>
      <c r="L2" s="695"/>
      <c r="M2" s="695"/>
      <c r="N2" s="69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6"/>
    </row>
    <row r="3" spans="1:28" ht="15.75" customHeight="1">
      <c r="A3" s="229"/>
      <c r="C3" s="690" t="s">
        <v>173</v>
      </c>
      <c r="D3" s="691"/>
      <c r="E3" s="692" t="s">
        <v>158</v>
      </c>
      <c r="F3" s="641"/>
      <c r="G3" s="640"/>
      <c r="H3" s="641"/>
      <c r="I3" s="642" t="s">
        <v>36</v>
      </c>
      <c r="J3" s="643"/>
      <c r="L3" s="670" t="s">
        <v>138</v>
      </c>
      <c r="M3" s="671"/>
      <c r="N3" s="110"/>
      <c r="O3" s="549" t="s">
        <v>13</v>
      </c>
      <c r="P3" s="475"/>
      <c r="Q3" s="475"/>
      <c r="R3" s="475"/>
      <c r="S3" s="475"/>
      <c r="T3" s="475"/>
      <c r="U3" s="475"/>
      <c r="V3" s="475"/>
      <c r="W3" s="475"/>
      <c r="X3" s="475"/>
      <c r="Y3" s="476"/>
      <c r="Z3" s="324"/>
    </row>
    <row r="4" spans="1:28" ht="21.75" customHeight="1">
      <c r="A4" s="216" t="s">
        <v>40</v>
      </c>
      <c r="B4" s="5" t="s">
        <v>41</v>
      </c>
      <c r="C4" s="77">
        <f>M4/2</f>
        <v>20000</v>
      </c>
      <c r="D4" s="11"/>
      <c r="E4" s="203">
        <f>M4/2</f>
        <v>20000</v>
      </c>
      <c r="G4" s="77"/>
      <c r="I4" s="142">
        <f>E4+C4</f>
        <v>40000</v>
      </c>
      <c r="J4" s="80">
        <f>D4+F4</f>
        <v>0</v>
      </c>
      <c r="L4" s="349" t="s">
        <v>64</v>
      </c>
      <c r="M4" s="502">
        <v>40000</v>
      </c>
      <c r="N4" s="110"/>
      <c r="O4" s="29" t="s">
        <v>175</v>
      </c>
      <c r="P4" s="28" t="s">
        <v>225</v>
      </c>
      <c r="Q4" s="154" t="s">
        <v>226</v>
      </c>
      <c r="R4" s="154"/>
      <c r="S4" s="29"/>
      <c r="T4" s="29"/>
      <c r="U4" s="29"/>
      <c r="V4" s="29"/>
      <c r="W4" s="29"/>
      <c r="X4" s="29"/>
      <c r="Y4" s="29"/>
      <c r="Z4" s="550" t="s">
        <v>49</v>
      </c>
    </row>
    <row r="5" spans="1:28">
      <c r="A5" s="216" t="s">
        <v>51</v>
      </c>
      <c r="B5" s="5" t="s">
        <v>52</v>
      </c>
      <c r="C5" s="161">
        <f>C6+C7+C8+C9+C10+C11+C13+C14+C17+C15+C12</f>
        <v>13937.9320322248</v>
      </c>
      <c r="D5" s="12"/>
      <c r="E5" s="190">
        <f>E6+E7+E8+E9+E10+E11+E13+E14+E17+E15+E12</f>
        <v>13676.239479207199</v>
      </c>
      <c r="F5" s="5"/>
      <c r="G5" s="161">
        <f>G6+G7+G8+G9+G10+G11+G13+G14+G17+G15+G12</f>
        <v>0</v>
      </c>
      <c r="H5" s="5"/>
      <c r="I5" s="143">
        <f>I6+I7+I8+I9+I10+I11+I13+I14+I17+I15+I12</f>
        <v>27614.171511432</v>
      </c>
      <c r="J5" s="81"/>
      <c r="L5" s="399" t="s">
        <v>67</v>
      </c>
      <c r="M5" s="400"/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542"/>
    </row>
    <row r="6" spans="1:28">
      <c r="A6" s="217" t="s">
        <v>54</v>
      </c>
      <c r="B6" s="75" t="s">
        <v>55</v>
      </c>
      <c r="C6" s="538">
        <v>3248.29</v>
      </c>
      <c r="D6" s="145">
        <f>C6+C7+C8</f>
        <v>5839.8899999999994</v>
      </c>
      <c r="E6" s="145">
        <f>46.23+50.44+10.49+92.66</f>
        <v>199.82</v>
      </c>
      <c r="F6" s="145">
        <f>E6+E7+E8</f>
        <v>6035.6999999999989</v>
      </c>
      <c r="G6" s="20"/>
      <c r="H6" s="13">
        <f>G6+G7+G8</f>
        <v>0</v>
      </c>
      <c r="I6" s="9">
        <f>C6+E6+G6</f>
        <v>3448.11</v>
      </c>
      <c r="J6" s="84">
        <f>I6+I7+I8</f>
        <v>11875.59</v>
      </c>
      <c r="L6" s="351" t="s">
        <v>71</v>
      </c>
      <c r="M6" s="352">
        <v>73.180000000000007</v>
      </c>
      <c r="O6" s="40">
        <f>Z6/2</f>
        <v>181.5</v>
      </c>
      <c r="P6" s="40">
        <f>O6</f>
        <v>181.5</v>
      </c>
      <c r="Q6" s="40">
        <f>O6</f>
        <v>181.5</v>
      </c>
      <c r="R6" s="40">
        <f>Z6/4</f>
        <v>90.75</v>
      </c>
      <c r="S6" s="40"/>
      <c r="T6" s="40"/>
      <c r="U6" s="41"/>
      <c r="V6" s="41"/>
      <c r="W6" s="41"/>
      <c r="X6" s="41"/>
      <c r="Y6" s="41"/>
      <c r="Z6" s="218">
        <v>363</v>
      </c>
    </row>
    <row r="7" spans="1:28">
      <c r="A7" s="219" t="s">
        <v>56</v>
      </c>
      <c r="B7" s="86" t="s">
        <v>57</v>
      </c>
      <c r="C7" s="259"/>
      <c r="D7" s="13"/>
      <c r="E7" s="145"/>
      <c r="F7" s="13"/>
      <c r="G7" s="17"/>
      <c r="H7" s="13"/>
      <c r="I7" s="9">
        <f t="shared" ref="I7:I17" si="0">C7+E7+G7</f>
        <v>0</v>
      </c>
      <c r="J7" s="84"/>
      <c r="L7" s="353" t="s">
        <v>74</v>
      </c>
      <c r="M7" s="354" t="s">
        <v>75</v>
      </c>
      <c r="O7" s="49">
        <f>179.2+10.95</f>
        <v>190.14999999999998</v>
      </c>
      <c r="P7" s="50">
        <f>210.32</f>
        <v>210.32</v>
      </c>
      <c r="Q7" s="50"/>
      <c r="R7" s="50"/>
      <c r="S7" s="50"/>
      <c r="T7" s="50"/>
      <c r="U7" s="51"/>
      <c r="V7" s="51"/>
      <c r="W7" s="51"/>
      <c r="X7" s="51"/>
      <c r="Y7" s="51"/>
      <c r="Z7" s="443">
        <f t="shared" ref="Z7" si="1">O7+P7+Q7+R7+S7+T7+Y7+U7+V7+W7+X7</f>
        <v>400.46999999999997</v>
      </c>
      <c r="AB7" s="1"/>
    </row>
    <row r="8" spans="1:28">
      <c r="A8" s="220" t="s">
        <v>58</v>
      </c>
      <c r="B8" s="76" t="s">
        <v>59</v>
      </c>
      <c r="C8" s="144">
        <f>1000+1591.6</f>
        <v>2591.6</v>
      </c>
      <c r="D8" s="14"/>
      <c r="E8" s="146">
        <f>2000+17.28+952+1613.6+1253</f>
        <v>5835.8799999999992</v>
      </c>
      <c r="F8" s="14"/>
      <c r="G8" s="18"/>
      <c r="H8" s="14"/>
      <c r="I8" s="174">
        <f t="shared" si="0"/>
        <v>8427.48</v>
      </c>
      <c r="J8" s="89"/>
      <c r="L8" s="355" t="s">
        <v>78</v>
      </c>
      <c r="M8" s="465">
        <v>13</v>
      </c>
      <c r="Z8" s="221"/>
    </row>
    <row r="9" spans="1:28">
      <c r="A9" s="217" t="s">
        <v>60</v>
      </c>
      <c r="B9" s="75" t="s">
        <v>61</v>
      </c>
      <c r="C9" s="257">
        <f>(2618+168.27-C13)*1.42</f>
        <v>2039.5033999999998</v>
      </c>
      <c r="D9" s="141">
        <f>C9+C10+C11+C13+C12</f>
        <v>5472.2720322248006</v>
      </c>
      <c r="E9" s="249">
        <f>((55.98*16+102.9*14.5+51.45*14)-E13)*1.42</f>
        <v>2425.4026000000003</v>
      </c>
      <c r="F9" s="128">
        <f>E9+E10+E11+E13+E12</f>
        <v>6037.3594792071999</v>
      </c>
      <c r="G9" s="139"/>
      <c r="H9" s="128">
        <f>G9+G10+G11+G13+G12</f>
        <v>0</v>
      </c>
      <c r="I9" s="169">
        <f t="shared" si="0"/>
        <v>4464.9059999999999</v>
      </c>
      <c r="J9" s="90">
        <f>I9+I10+I11+I13+I12</f>
        <v>11509.631511432</v>
      </c>
      <c r="L9" s="357" t="s">
        <v>81</v>
      </c>
      <c r="M9" s="358">
        <v>12</v>
      </c>
      <c r="Z9" s="221"/>
    </row>
    <row r="10" spans="1:28">
      <c r="A10" s="219" t="s">
        <v>62</v>
      </c>
      <c r="B10" s="86" t="s">
        <v>63</v>
      </c>
      <c r="C10" s="126">
        <f>C9*0.2359</f>
        <v>481.11885205999994</v>
      </c>
      <c r="D10" s="13"/>
      <c r="E10" s="145">
        <f>E9*0.2359</f>
        <v>572.15247334000003</v>
      </c>
      <c r="F10" s="83"/>
      <c r="G10" s="126">
        <f>G9*0.2359</f>
        <v>0</v>
      </c>
      <c r="H10" s="83"/>
      <c r="I10" s="169">
        <f t="shared" si="0"/>
        <v>1053.2713254</v>
      </c>
      <c r="J10" s="89"/>
      <c r="Z10" s="221"/>
    </row>
    <row r="11" spans="1:28">
      <c r="A11" s="219" t="s">
        <v>65</v>
      </c>
      <c r="B11" s="86" t="s">
        <v>66</v>
      </c>
      <c r="C11" s="126">
        <f>(C9+C10)*0.08</f>
        <v>201.64978016480001</v>
      </c>
      <c r="D11" s="13"/>
      <c r="E11" s="145">
        <f>(E9+E10)*0.08</f>
        <v>239.80440586720005</v>
      </c>
      <c r="F11" s="83"/>
      <c r="G11" s="126">
        <f>(G9+G10)*0.08</f>
        <v>0</v>
      </c>
      <c r="H11" s="83"/>
      <c r="I11" s="169">
        <f t="shared" si="0"/>
        <v>441.45418603200005</v>
      </c>
      <c r="J11" s="89"/>
      <c r="L11" s="674" t="s">
        <v>85</v>
      </c>
      <c r="M11" s="675"/>
      <c r="Z11" s="221"/>
    </row>
    <row r="12" spans="1:28">
      <c r="A12" s="222" t="s">
        <v>68</v>
      </c>
      <c r="B12" s="92" t="s">
        <v>21</v>
      </c>
      <c r="C12" s="127">
        <f>(C4)*0.07</f>
        <v>1400.0000000000002</v>
      </c>
      <c r="D12" s="127"/>
      <c r="E12" s="127">
        <f t="shared" ref="E12:G12" si="2">(E4)*0.07</f>
        <v>1400.0000000000002</v>
      </c>
      <c r="F12" s="127"/>
      <c r="G12" s="127">
        <f>(G13+G11+G10+G9)*0.07</f>
        <v>0</v>
      </c>
      <c r="H12" s="123"/>
      <c r="I12" s="169">
        <f t="shared" si="0"/>
        <v>2800.0000000000005</v>
      </c>
      <c r="J12" s="89"/>
      <c r="L12" s="359" t="s">
        <v>50</v>
      </c>
      <c r="M12" s="360">
        <v>122603.78</v>
      </c>
      <c r="Z12" s="221"/>
    </row>
    <row r="13" spans="1:28">
      <c r="A13" s="219" t="s">
        <v>69</v>
      </c>
      <c r="B13" s="86" t="s">
        <v>70</v>
      </c>
      <c r="C13" s="130">
        <f>4*6*50+3*50</f>
        <v>1350</v>
      </c>
      <c r="D13" s="134"/>
      <c r="E13" s="251">
        <f>7*4*50</f>
        <v>1400</v>
      </c>
      <c r="F13" s="125"/>
      <c r="G13" s="130"/>
      <c r="H13" s="125"/>
      <c r="I13" s="171">
        <f t="shared" si="0"/>
        <v>2750</v>
      </c>
      <c r="J13" s="93"/>
      <c r="L13" s="361" t="s">
        <v>53</v>
      </c>
      <c r="M13" s="362">
        <f>J6-I8</f>
        <v>3448.1100000000006</v>
      </c>
      <c r="Z13" s="221"/>
    </row>
    <row r="14" spans="1:28">
      <c r="A14" s="223" t="s">
        <v>72</v>
      </c>
      <c r="B14" s="75" t="s">
        <v>73</v>
      </c>
      <c r="C14" s="259">
        <v>1432.25</v>
      </c>
      <c r="D14" s="145">
        <f>C14+C17+C15+C16</f>
        <v>2625.77</v>
      </c>
      <c r="E14" s="145">
        <f>D48</f>
        <v>0</v>
      </c>
      <c r="F14" s="145">
        <f>E14+E17+E15+E16</f>
        <v>1603.18</v>
      </c>
      <c r="G14" s="127">
        <f>D49+D50</f>
        <v>0</v>
      </c>
      <c r="H14" s="145">
        <f>G14+G17+G15+G16</f>
        <v>0</v>
      </c>
      <c r="I14" s="9">
        <f t="shared" si="0"/>
        <v>1432.25</v>
      </c>
      <c r="J14" s="89">
        <f>I14+I17+I15+I16</f>
        <v>4228.95</v>
      </c>
      <c r="Z14" s="221"/>
      <c r="AB14" s="1"/>
    </row>
    <row r="15" spans="1:28">
      <c r="A15" s="224" t="s">
        <v>76</v>
      </c>
      <c r="B15" s="86" t="s">
        <v>77</v>
      </c>
      <c r="C15" s="259"/>
      <c r="D15" s="13"/>
      <c r="E15" s="13">
        <v>126.32</v>
      </c>
      <c r="F15" s="13"/>
      <c r="G15" s="20"/>
      <c r="H15" s="13"/>
      <c r="I15" s="9">
        <f t="shared" si="0"/>
        <v>126.32</v>
      </c>
      <c r="J15" s="89"/>
      <c r="L15" s="651" t="s">
        <v>89</v>
      </c>
      <c r="M15" s="652"/>
      <c r="Z15" s="221"/>
    </row>
    <row r="16" spans="1:28">
      <c r="A16" s="224" t="s">
        <v>139</v>
      </c>
      <c r="B16" s="86" t="s">
        <v>140</v>
      </c>
      <c r="C16" s="259"/>
      <c r="D16" s="13"/>
      <c r="E16" s="13"/>
      <c r="F16" s="13"/>
      <c r="G16" s="20"/>
      <c r="H16" s="13"/>
      <c r="I16" s="9">
        <f t="shared" si="0"/>
        <v>0</v>
      </c>
      <c r="J16" s="89"/>
      <c r="L16" s="359" t="s">
        <v>50</v>
      </c>
      <c r="M16" s="360">
        <v>9194.43</v>
      </c>
      <c r="Z16" s="221"/>
    </row>
    <row r="17" spans="1:26">
      <c r="A17" s="219" t="s">
        <v>79</v>
      </c>
      <c r="B17" s="86" t="s">
        <v>80</v>
      </c>
      <c r="C17" s="259">
        <f>137.53+41.66+27.72+0.93+88.68+224.25*4</f>
        <v>1193.52</v>
      </c>
      <c r="D17" s="13"/>
      <c r="E17" s="145">
        <f>125+2.67+3.7+4.52+1.82+63.95+146.73+1.95+3.94+3.44+100.27*2+918.6</f>
        <v>1476.8600000000001</v>
      </c>
      <c r="F17" s="13"/>
      <c r="G17" s="17"/>
      <c r="H17" s="13"/>
      <c r="I17" s="9">
        <f t="shared" si="0"/>
        <v>2670.38</v>
      </c>
      <c r="J17" s="89"/>
      <c r="L17" s="363" t="s">
        <v>53</v>
      </c>
      <c r="M17" s="364">
        <f>J9-I12</f>
        <v>8709.6315114320005</v>
      </c>
      <c r="Z17" s="221"/>
    </row>
    <row r="18" spans="1:26" ht="20.25" customHeight="1">
      <c r="A18" s="216" t="s">
        <v>82</v>
      </c>
      <c r="B18" s="5" t="s">
        <v>83</v>
      </c>
      <c r="C18" s="515">
        <f>C4-C5</f>
        <v>6062.0679677751996</v>
      </c>
      <c r="D18" s="516">
        <f>C18/C4</f>
        <v>0.30310339838875999</v>
      </c>
      <c r="E18" s="517">
        <f>E4-E5</f>
        <v>6323.7605207928009</v>
      </c>
      <c r="F18" s="516">
        <f>E18/E4</f>
        <v>0.31618802603964002</v>
      </c>
      <c r="G18" s="515">
        <f>G4-G5</f>
        <v>0</v>
      </c>
      <c r="H18" s="516" t="e">
        <f>G18/G4</f>
        <v>#DIV/0!</v>
      </c>
      <c r="I18" s="15">
        <f>I4-I5</f>
        <v>12385.828488568</v>
      </c>
      <c r="J18" s="96">
        <f>I18/I4</f>
        <v>0.30964571221420001</v>
      </c>
      <c r="L18" s="377" t="s">
        <v>141</v>
      </c>
      <c r="M18" s="470">
        <f>M17/Z7</f>
        <v>21.748524262571483</v>
      </c>
      <c r="O18" s="541" t="s">
        <v>90</v>
      </c>
      <c r="P18" s="475"/>
      <c r="Q18" s="475"/>
      <c r="R18" s="475"/>
      <c r="S18" s="475"/>
      <c r="T18" s="475"/>
      <c r="U18" s="475"/>
      <c r="V18" s="475"/>
      <c r="W18" s="475"/>
      <c r="X18" s="475"/>
      <c r="Y18" s="476"/>
      <c r="Z18" s="324"/>
    </row>
    <row r="19" spans="1:26">
      <c r="A19" s="225" t="s">
        <v>142</v>
      </c>
      <c r="B19" s="98" t="s">
        <v>143</v>
      </c>
      <c r="C19" s="499"/>
      <c r="D19" s="500"/>
      <c r="E19" s="499"/>
      <c r="F19" s="500"/>
      <c r="G19" s="499"/>
      <c r="H19" s="500"/>
      <c r="I19" s="501">
        <f>M4-31324.13</f>
        <v>8675.869999999999</v>
      </c>
      <c r="J19" s="498">
        <f>I19/M4</f>
        <v>0.21689674999999997</v>
      </c>
      <c r="O19" s="29" t="s">
        <v>175</v>
      </c>
      <c r="P19" s="28" t="s">
        <v>225</v>
      </c>
      <c r="Q19" s="154" t="s">
        <v>226</v>
      </c>
      <c r="R19" s="154"/>
      <c r="S19" s="29"/>
      <c r="T19" s="29"/>
      <c r="U19" s="28"/>
      <c r="V19" s="28"/>
      <c r="W19" s="28"/>
      <c r="X19" s="28"/>
      <c r="Y19" s="28"/>
      <c r="Z19" s="543" t="s">
        <v>49</v>
      </c>
    </row>
    <row r="20" spans="1:26">
      <c r="A20" s="225"/>
      <c r="B20" s="98"/>
      <c r="C20" s="98"/>
      <c r="D20" s="98"/>
      <c r="E20" s="98"/>
      <c r="F20" s="98"/>
      <c r="G20" s="98"/>
      <c r="H20" s="98"/>
      <c r="J20" s="99"/>
      <c r="L20" s="373" t="s">
        <v>100</v>
      </c>
      <c r="M20" s="374"/>
      <c r="O20" s="66">
        <v>1</v>
      </c>
      <c r="P20" s="66">
        <v>2</v>
      </c>
      <c r="Q20" s="66">
        <v>3</v>
      </c>
      <c r="R20" s="66">
        <v>4</v>
      </c>
      <c r="S20" s="66">
        <v>5</v>
      </c>
      <c r="T20" s="66">
        <v>6</v>
      </c>
      <c r="U20" s="66">
        <v>7</v>
      </c>
      <c r="V20" s="66">
        <v>8</v>
      </c>
      <c r="W20" s="66">
        <v>9</v>
      </c>
      <c r="X20" s="66">
        <v>10</v>
      </c>
      <c r="Y20" s="66">
        <v>11</v>
      </c>
      <c r="Z20" s="544"/>
    </row>
    <row r="21" spans="1:26">
      <c r="A21" s="395" t="s">
        <v>86</v>
      </c>
      <c r="B21" s="412" t="s">
        <v>144</v>
      </c>
      <c r="C21" s="445" t="s">
        <v>145</v>
      </c>
      <c r="D21" s="101"/>
      <c r="E21" s="101"/>
      <c r="F21" s="101"/>
      <c r="G21" s="101"/>
      <c r="H21" s="101"/>
      <c r="J21" s="99"/>
      <c r="L21" s="367" t="s">
        <v>50</v>
      </c>
      <c r="M21" s="368">
        <f>Z6/M6</f>
        <v>4.9603716862530742</v>
      </c>
      <c r="O21" s="69">
        <f>Z21/2</f>
        <v>2400</v>
      </c>
      <c r="P21" s="69">
        <f>O21</f>
        <v>2400</v>
      </c>
      <c r="Q21" s="69">
        <f>O21</f>
        <v>2400</v>
      </c>
      <c r="R21" s="69">
        <f>Z21/4</f>
        <v>1200</v>
      </c>
      <c r="S21" s="69"/>
      <c r="T21" s="69"/>
      <c r="U21" s="69"/>
      <c r="V21" s="69"/>
      <c r="W21" s="69"/>
      <c r="X21" s="69"/>
      <c r="Y21" s="69"/>
      <c r="Z21" s="326">
        <f>M26</f>
        <v>4800</v>
      </c>
    </row>
    <row r="22" spans="1:26">
      <c r="A22" s="226" t="s">
        <v>88</v>
      </c>
      <c r="B22" s="449">
        <f>(J6)/I5</f>
        <v>0.43005418413815605</v>
      </c>
      <c r="C22" s="410">
        <f>3765.11/31324.13</f>
        <v>0.12019839018673463</v>
      </c>
      <c r="D22" s="103"/>
      <c r="E22" s="103"/>
      <c r="F22" s="103"/>
      <c r="G22" s="103"/>
      <c r="H22" s="103"/>
      <c r="J22" s="99"/>
      <c r="L22" s="369" t="s">
        <v>53</v>
      </c>
      <c r="M22" s="370">
        <f>Z7/M6</f>
        <v>5.4723968297348993</v>
      </c>
      <c r="O22" s="71">
        <f>1432.25</f>
        <v>1432.25</v>
      </c>
      <c r="P22" s="72">
        <f>E15</f>
        <v>126.32</v>
      </c>
      <c r="Q22" s="72"/>
      <c r="R22" s="72"/>
      <c r="S22" s="72"/>
      <c r="T22" s="72"/>
      <c r="U22" s="72"/>
      <c r="V22" s="72"/>
      <c r="W22" s="72"/>
      <c r="X22" s="72"/>
      <c r="Y22" s="72"/>
      <c r="Z22" s="436">
        <f>Q22+P22+O22</f>
        <v>1558.57</v>
      </c>
    </row>
    <row r="23" spans="1:26">
      <c r="A23" s="227" t="s">
        <v>89</v>
      </c>
      <c r="B23" s="449">
        <f>J9/I5</f>
        <v>0.41680162327763931</v>
      </c>
      <c r="C23" s="410">
        <f>9194.43/31324.13</f>
        <v>0.29352547061961498</v>
      </c>
      <c r="D23" s="103"/>
      <c r="E23" s="103"/>
      <c r="F23" s="103"/>
      <c r="G23" s="103"/>
      <c r="H23" s="103"/>
      <c r="J23" s="99"/>
      <c r="L23" s="365" t="s">
        <v>146</v>
      </c>
      <c r="M23" s="366">
        <f>M22*M18</f>
        <v>119.01655522590872</v>
      </c>
      <c r="Z23" s="221"/>
    </row>
    <row r="24" spans="1:26">
      <c r="A24" s="489" t="s">
        <v>91</v>
      </c>
      <c r="B24" s="484">
        <f>(J14)/I5</f>
        <v>0.15314419258420464</v>
      </c>
      <c r="C24" s="381">
        <f>18364.58/31324.13</f>
        <v>0.58627581995094524</v>
      </c>
      <c r="D24" s="103"/>
      <c r="E24" s="103"/>
      <c r="F24" s="103"/>
      <c r="G24" s="103"/>
      <c r="H24" s="103"/>
      <c r="J24" s="99"/>
      <c r="Z24" s="221"/>
    </row>
    <row r="25" spans="1:26" ht="30" customHeight="1">
      <c r="A25" s="229"/>
      <c r="J25" s="99"/>
      <c r="L25" s="371" t="s">
        <v>90</v>
      </c>
      <c r="M25" s="372"/>
      <c r="Z25" s="221"/>
    </row>
    <row r="26" spans="1:26">
      <c r="A26" s="229"/>
      <c r="J26" s="99"/>
      <c r="L26" s="359" t="s">
        <v>50</v>
      </c>
      <c r="M26" s="360">
        <f>2800+2000</f>
        <v>4800</v>
      </c>
      <c r="Z26" s="221"/>
    </row>
    <row r="27" spans="1:26">
      <c r="A27" s="229"/>
      <c r="J27" s="99"/>
      <c r="L27" s="363" t="s">
        <v>53</v>
      </c>
      <c r="M27" s="364">
        <f>I14+I15</f>
        <v>1558.57</v>
      </c>
      <c r="Z27" s="221"/>
    </row>
    <row r="28" spans="1:26" ht="27.75">
      <c r="A28" s="229"/>
      <c r="J28" s="99"/>
      <c r="L28" s="490" t="s">
        <v>147</v>
      </c>
      <c r="M28" s="366">
        <f>M27/Z7</f>
        <v>3.8918520738132694</v>
      </c>
      <c r="Z28" s="221"/>
    </row>
    <row r="29" spans="1:26">
      <c r="A29" s="229"/>
      <c r="J29" s="99"/>
      <c r="Z29" s="221"/>
    </row>
    <row r="30" spans="1:26">
      <c r="A30" s="229"/>
      <c r="J30" s="99"/>
      <c r="L30" s="503" t="s">
        <v>92</v>
      </c>
      <c r="M30" s="504"/>
      <c r="Z30" s="221"/>
    </row>
    <row r="31" spans="1:26" ht="27.75">
      <c r="A31" s="229"/>
      <c r="J31" s="99"/>
      <c r="L31" s="505" t="s">
        <v>93</v>
      </c>
      <c r="M31" s="506">
        <f>I8</f>
        <v>8427.48</v>
      </c>
      <c r="Z31" s="221"/>
    </row>
    <row r="32" spans="1:26">
      <c r="A32" s="229"/>
      <c r="J32" s="99"/>
      <c r="Z32" s="221"/>
    </row>
    <row r="33" spans="1:26">
      <c r="A33" s="229"/>
      <c r="J33" s="99"/>
      <c r="L33" s="686" t="s">
        <v>94</v>
      </c>
      <c r="M33" s="687"/>
      <c r="Z33" s="221"/>
    </row>
    <row r="34" spans="1:26">
      <c r="A34" s="230"/>
      <c r="B34" s="231"/>
      <c r="C34" s="231"/>
      <c r="D34" s="231"/>
      <c r="E34" s="231"/>
      <c r="F34" s="231"/>
      <c r="G34" s="231"/>
      <c r="H34" s="231"/>
      <c r="I34" s="231"/>
      <c r="J34" s="551"/>
      <c r="K34" s="231"/>
      <c r="L34" s="688">
        <v>45691</v>
      </c>
      <c r="M34" s="689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2"/>
    </row>
    <row r="37" spans="1:26">
      <c r="I37" s="1"/>
    </row>
    <row r="38" spans="1:26">
      <c r="D38" s="88"/>
      <c r="E38" s="88"/>
    </row>
    <row r="39" spans="1:26">
      <c r="D39" s="88"/>
      <c r="E39" s="88"/>
    </row>
    <row r="40" spans="1:26">
      <c r="D40" s="88"/>
      <c r="E40" s="88"/>
    </row>
    <row r="41" spans="1:26">
      <c r="D41" s="88"/>
      <c r="E41" s="88"/>
    </row>
  </sheetData>
  <mergeCells count="11">
    <mergeCell ref="A2:J2"/>
    <mergeCell ref="L2:N2"/>
    <mergeCell ref="I3:J3"/>
    <mergeCell ref="L3:M3"/>
    <mergeCell ref="L11:M11"/>
    <mergeCell ref="L15:M15"/>
    <mergeCell ref="L33:M33"/>
    <mergeCell ref="L34:M34"/>
    <mergeCell ref="C3:D3"/>
    <mergeCell ref="E3:F3"/>
    <mergeCell ref="G3:H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greaterThan" id="{76BDF17C-94C0-4452-9EFF-3398BAB46E7F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ellIs" priority="1" operator="greaterThan" id="{DA25E8B7-9ECA-46AC-B1FE-E8A4CF9FB640}">
            <xm:f>MAT!#REF!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M18</xm:sqref>
        </x14:conditionalFormatting>
        <x14:conditionalFormatting xmlns:xm="http://schemas.microsoft.com/office/excel/2006/main">
          <x14:cfRule type="cellIs" priority="4" operator="greaterThan" id="{15C374CF-7A86-478B-9F7D-B3B268E0529E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M20</xm:sqref>
        </x14:conditionalFormatting>
        <x14:conditionalFormatting xmlns:xm="http://schemas.microsoft.com/office/excel/2006/main">
          <x14:cfRule type="cellIs" priority="3" operator="greaterThan" id="{3BF9C49B-F29D-4272-9AD9-7C41FF8DE88D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M23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8EF3E-47CC-433F-AA45-CD4CCA485B92}">
  <sheetPr>
    <pageSetUpPr fitToPage="1"/>
  </sheetPr>
  <dimension ref="A1:Z35"/>
  <sheetViews>
    <sheetView workbookViewId="0">
      <selection activeCell="B23" sqref="B23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1.5703125" customWidth="1"/>
    <col min="4" max="4" width="10.7109375" customWidth="1"/>
    <col min="5" max="5" width="10.7109375" hidden="1" customWidth="1" outlineLevel="1"/>
    <col min="6" max="6" width="10.140625" hidden="1" customWidth="1" outlineLevel="1"/>
    <col min="7" max="7" width="9.42578125" hidden="1" customWidth="1" outlineLevel="1"/>
    <col min="8" max="8" width="8.570312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23.7109375" customWidth="1"/>
    <col min="13" max="13" width="18.140625" bestFit="1" customWidth="1"/>
    <col min="14" max="14" width="6.28515625" customWidth="1"/>
    <col min="15" max="15" width="14" customWidth="1"/>
    <col min="16" max="18" width="10.7109375" hidden="1" customWidth="1" outlineLevel="1"/>
    <col min="19" max="24" width="12.7109375" hidden="1" customWidth="1" outlineLevel="1"/>
    <col min="25" max="25" width="2.42578125" hidden="1" customWidth="1" outlineLevel="1"/>
    <col min="26" max="26" width="12.7109375" customWidth="1" collapsed="1"/>
    <col min="27" max="27" width="12.7109375" customWidth="1"/>
  </cols>
  <sheetData>
    <row r="1" spans="1:26" ht="25.5" customHeight="1">
      <c r="A1" s="187" t="s">
        <v>227</v>
      </c>
      <c r="B1" s="187" t="s">
        <v>228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</row>
    <row r="2" spans="1:26" ht="18.75">
      <c r="A2" s="681" t="s">
        <v>30</v>
      </c>
      <c r="B2" s="693"/>
      <c r="C2" s="693"/>
      <c r="D2" s="693"/>
      <c r="E2" s="693"/>
      <c r="F2" s="693"/>
      <c r="G2" s="693"/>
      <c r="H2" s="693"/>
      <c r="I2" s="693"/>
      <c r="J2" s="696"/>
      <c r="K2" s="520"/>
      <c r="L2" s="695"/>
      <c r="M2" s="695"/>
      <c r="N2" s="695"/>
      <c r="O2" s="695"/>
      <c r="P2" s="695"/>
      <c r="Q2" s="695"/>
      <c r="R2" s="695"/>
      <c r="S2" s="695"/>
      <c r="T2" s="695"/>
      <c r="U2" s="695"/>
      <c r="V2" s="695"/>
      <c r="W2" s="695"/>
      <c r="X2" s="695"/>
      <c r="Y2" s="695"/>
      <c r="Z2" s="697"/>
    </row>
    <row r="3" spans="1:26" ht="15.75" customHeight="1">
      <c r="A3" s="229"/>
      <c r="C3" s="640" t="s">
        <v>35</v>
      </c>
      <c r="D3" s="641"/>
      <c r="E3" s="640"/>
      <c r="F3" s="641"/>
      <c r="G3" s="640" t="s">
        <v>130</v>
      </c>
      <c r="H3" s="641"/>
      <c r="I3" s="698" t="s">
        <v>36</v>
      </c>
      <c r="J3" s="699"/>
      <c r="L3" s="670" t="s">
        <v>138</v>
      </c>
      <c r="M3" s="671"/>
      <c r="N3" s="110"/>
      <c r="O3" s="644" t="s">
        <v>13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324"/>
    </row>
    <row r="4" spans="1:26" ht="16.5" customHeight="1">
      <c r="A4" s="216" t="s">
        <v>40</v>
      </c>
      <c r="B4" s="5" t="s">
        <v>41</v>
      </c>
      <c r="C4" s="77">
        <f>M4</f>
        <v>7504.45</v>
      </c>
      <c r="E4" s="77">
        <f>M11</f>
        <v>0</v>
      </c>
      <c r="G4" s="301"/>
      <c r="I4" s="142">
        <f>C4</f>
        <v>7504.45</v>
      </c>
      <c r="J4" s="385">
        <f>D4+F4</f>
        <v>0</v>
      </c>
      <c r="L4" s="349" t="s">
        <v>64</v>
      </c>
      <c r="M4" s="502">
        <f>5009.11+2495.34</f>
        <v>7504.45</v>
      </c>
      <c r="N4" s="110"/>
      <c r="O4" s="29" t="s">
        <v>229</v>
      </c>
      <c r="P4" s="28" t="s">
        <v>230</v>
      </c>
      <c r="Q4" s="154" t="s">
        <v>231</v>
      </c>
      <c r="R4" s="29" t="s">
        <v>214</v>
      </c>
      <c r="S4" s="29" t="s">
        <v>215</v>
      </c>
      <c r="T4" s="299">
        <v>45231</v>
      </c>
      <c r="U4" s="29"/>
      <c r="V4" s="29"/>
      <c r="W4" s="29"/>
      <c r="X4" s="29"/>
      <c r="Y4" s="29"/>
      <c r="Z4" s="700" t="s">
        <v>49</v>
      </c>
    </row>
    <row r="5" spans="1:26">
      <c r="A5" s="216" t="s">
        <v>51</v>
      </c>
      <c r="B5" s="5" t="s">
        <v>52</v>
      </c>
      <c r="C5" s="161">
        <f>C6+C7+C8+C9+C10+C11+C13+C14+C17+C15+C12</f>
        <v>6950.3130375055998</v>
      </c>
      <c r="D5" s="5"/>
      <c r="E5" s="161">
        <f>E6+E7+E8+E9+E10+E11+E13+E14+E17+E15+E12</f>
        <v>0</v>
      </c>
      <c r="F5" s="5"/>
      <c r="G5" s="161">
        <f>G6+G7+G8+G9+G10+G11+G13+G14+G17+G15+G12</f>
        <v>0</v>
      </c>
      <c r="H5" s="5"/>
      <c r="I5" s="302">
        <f>C5+E5+G5</f>
        <v>6950.3130375055998</v>
      </c>
      <c r="J5" s="386"/>
      <c r="L5" s="399" t="s">
        <v>67</v>
      </c>
      <c r="M5" s="400"/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701"/>
    </row>
    <row r="6" spans="1:26">
      <c r="A6" s="217" t="s">
        <v>54</v>
      </c>
      <c r="B6" s="75" t="s">
        <v>55</v>
      </c>
      <c r="C6" s="127">
        <f>59+312.53+155.94+101.62+80.77+151.85</f>
        <v>861.71</v>
      </c>
      <c r="D6" s="131">
        <f>C6+C7+C8</f>
        <v>861.71</v>
      </c>
      <c r="E6" s="20"/>
      <c r="F6" s="145">
        <f>E6+E7+E8</f>
        <v>0</v>
      </c>
      <c r="G6" s="17"/>
      <c r="H6" s="83">
        <f>G6+G7+G8</f>
        <v>0</v>
      </c>
      <c r="I6" s="300">
        <f t="shared" ref="I6:I17" si="0">C6+E6+G6</f>
        <v>861.71</v>
      </c>
      <c r="J6" s="387">
        <f>I6+I7+I8</f>
        <v>861.71</v>
      </c>
      <c r="L6" s="351" t="s">
        <v>71</v>
      </c>
      <c r="M6" s="352"/>
      <c r="O6" s="40">
        <f>Z6/4</f>
        <v>0</v>
      </c>
      <c r="P6" s="40">
        <f>O6</f>
        <v>0</v>
      </c>
      <c r="Q6" s="40">
        <f>O6</f>
        <v>0</v>
      </c>
      <c r="R6" s="40">
        <f>O6</f>
        <v>0</v>
      </c>
      <c r="S6" s="40"/>
      <c r="T6" s="40"/>
      <c r="U6" s="41"/>
      <c r="V6" s="41"/>
      <c r="W6" s="41"/>
      <c r="X6" s="41"/>
      <c r="Y6" s="41"/>
      <c r="Z6" s="218"/>
    </row>
    <row r="7" spans="1:26">
      <c r="A7" s="219" t="s">
        <v>56</v>
      </c>
      <c r="B7" s="86" t="s">
        <v>57</v>
      </c>
      <c r="C7" s="126"/>
      <c r="D7" s="83"/>
      <c r="E7" s="126"/>
      <c r="F7" s="13"/>
      <c r="G7" s="17"/>
      <c r="H7" s="83"/>
      <c r="I7" s="300">
        <f t="shared" si="0"/>
        <v>0</v>
      </c>
      <c r="J7" s="387"/>
      <c r="L7" s="353" t="s">
        <v>74</v>
      </c>
      <c r="M7" s="354" t="s">
        <v>75</v>
      </c>
      <c r="O7" s="49">
        <f>44.67+43.12</f>
        <v>87.789999999999992</v>
      </c>
      <c r="P7" s="50"/>
      <c r="Q7" s="50"/>
      <c r="R7" s="50"/>
      <c r="S7" s="50"/>
      <c r="T7" s="50"/>
      <c r="U7" s="51"/>
      <c r="V7" s="51"/>
      <c r="W7" s="51"/>
      <c r="X7" s="51"/>
      <c r="Y7" s="51"/>
      <c r="Z7" s="325">
        <f>O7+P7+Q7+R7+S7+T7+Y7+U7+V7+W7+X7</f>
        <v>87.789999999999992</v>
      </c>
    </row>
    <row r="8" spans="1:26">
      <c r="A8" s="220" t="s">
        <v>58</v>
      </c>
      <c r="B8" s="76" t="s">
        <v>59</v>
      </c>
      <c r="C8" s="18"/>
      <c r="D8" s="88"/>
      <c r="E8" s="18"/>
      <c r="F8" s="14"/>
      <c r="G8" s="18"/>
      <c r="H8" s="88"/>
      <c r="I8" s="300">
        <f t="shared" si="0"/>
        <v>0</v>
      </c>
      <c r="J8" s="388"/>
      <c r="L8" s="355" t="s">
        <v>78</v>
      </c>
      <c r="M8" s="465">
        <v>13</v>
      </c>
      <c r="Z8" s="221"/>
    </row>
    <row r="9" spans="1:26">
      <c r="A9" s="217" t="s">
        <v>60</v>
      </c>
      <c r="B9" s="75" t="s">
        <v>61</v>
      </c>
      <c r="C9" s="153">
        <f>(155+469.84+492.1)*1.42</f>
        <v>1586.0547999999999</v>
      </c>
      <c r="D9" s="128">
        <f>C9+C10+C11+C13+C12</f>
        <v>3692.3330375056003</v>
      </c>
      <c r="E9" s="257"/>
      <c r="F9" s="128">
        <f>E9+E10+E11+E13+E12</f>
        <v>0</v>
      </c>
      <c r="G9" s="303"/>
      <c r="H9" s="6">
        <f>G9+G10+G11+G13+G12</f>
        <v>0</v>
      </c>
      <c r="I9" s="300">
        <f t="shared" si="0"/>
        <v>1586.0547999999999</v>
      </c>
      <c r="J9" s="389">
        <f>I9+I10+I11+I13+I12</f>
        <v>3692.3330375056003</v>
      </c>
      <c r="L9" s="357" t="s">
        <v>81</v>
      </c>
      <c r="M9" s="358">
        <v>12</v>
      </c>
      <c r="Z9" s="221"/>
    </row>
    <row r="10" spans="1:26">
      <c r="A10" s="219" t="s">
        <v>62</v>
      </c>
      <c r="B10" s="86" t="s">
        <v>63</v>
      </c>
      <c r="C10" s="126">
        <f>C9*0.2359</f>
        <v>374.15032731999997</v>
      </c>
      <c r="D10" s="83"/>
      <c r="E10" s="126">
        <f>E9*0.2359</f>
        <v>0</v>
      </c>
      <c r="F10" s="83"/>
      <c r="G10" s="17"/>
      <c r="H10" s="83"/>
      <c r="I10" s="300">
        <f t="shared" si="0"/>
        <v>374.15032731999997</v>
      </c>
      <c r="J10" s="388"/>
      <c r="Z10" s="221"/>
    </row>
    <row r="11" spans="1:26">
      <c r="A11" s="219" t="s">
        <v>65</v>
      </c>
      <c r="B11" s="86" t="s">
        <v>66</v>
      </c>
      <c r="C11" s="126">
        <f>(C9+C10)*0.08</f>
        <v>156.81641018560001</v>
      </c>
      <c r="D11" s="83"/>
      <c r="E11" s="126">
        <f>(E9+E10)*0.08</f>
        <v>0</v>
      </c>
      <c r="F11" s="83"/>
      <c r="G11" s="17"/>
      <c r="H11" s="83"/>
      <c r="I11" s="300">
        <f t="shared" si="0"/>
        <v>156.81641018560001</v>
      </c>
      <c r="J11" s="388"/>
      <c r="L11" s="674" t="s">
        <v>85</v>
      </c>
      <c r="M11" s="675"/>
      <c r="Z11" s="221"/>
    </row>
    <row r="12" spans="1:26">
      <c r="A12" s="222" t="s">
        <v>68</v>
      </c>
      <c r="B12" s="92" t="s">
        <v>21</v>
      </c>
      <c r="C12" s="127">
        <f>M4*0.07</f>
        <v>525.31150000000002</v>
      </c>
      <c r="D12" s="123"/>
      <c r="E12" s="127">
        <f>(E4)*0.07</f>
        <v>0</v>
      </c>
      <c r="F12" s="123"/>
      <c r="G12" s="20"/>
      <c r="H12" s="123"/>
      <c r="I12" s="300">
        <f t="shared" si="0"/>
        <v>525.31150000000002</v>
      </c>
      <c r="J12" s="388"/>
      <c r="L12" s="359" t="s">
        <v>50</v>
      </c>
      <c r="M12" s="360"/>
      <c r="Z12" s="221"/>
    </row>
    <row r="13" spans="1:26">
      <c r="A13" s="219" t="s">
        <v>69</v>
      </c>
      <c r="B13" s="86" t="s">
        <v>70</v>
      </c>
      <c r="C13" s="130">
        <f>350*3</f>
        <v>1050</v>
      </c>
      <c r="D13" s="125"/>
      <c r="E13" s="260"/>
      <c r="F13" s="125"/>
      <c r="G13" s="124"/>
      <c r="H13" s="125"/>
      <c r="I13" s="300">
        <f t="shared" si="0"/>
        <v>1050</v>
      </c>
      <c r="J13" s="390"/>
      <c r="L13" s="361" t="s">
        <v>53</v>
      </c>
      <c r="M13" s="362">
        <f>J6-I8</f>
        <v>861.71</v>
      </c>
      <c r="Z13" s="221"/>
    </row>
    <row r="14" spans="1:26">
      <c r="A14" s="223" t="s">
        <v>72</v>
      </c>
      <c r="B14" s="75" t="s">
        <v>73</v>
      </c>
      <c r="C14" s="20">
        <v>766.52</v>
      </c>
      <c r="D14" s="131">
        <f>C14+C17+C15+C16</f>
        <v>2396.27</v>
      </c>
      <c r="E14" s="20"/>
      <c r="F14" s="13">
        <f>E14+E17+E15</f>
        <v>0</v>
      </c>
      <c r="G14" s="17"/>
      <c r="H14" s="83">
        <f>G14+G17+G15</f>
        <v>0</v>
      </c>
      <c r="I14" s="300">
        <f t="shared" si="0"/>
        <v>766.52</v>
      </c>
      <c r="J14" s="388">
        <f>I14+I17+I15+I16</f>
        <v>2396.27</v>
      </c>
      <c r="Z14" s="221"/>
    </row>
    <row r="15" spans="1:26">
      <c r="A15" s="224" t="s">
        <v>76</v>
      </c>
      <c r="B15" s="86" t="s">
        <v>77</v>
      </c>
      <c r="C15" s="127">
        <f>598.17+255+7.07+680.1</f>
        <v>1540.3400000000001</v>
      </c>
      <c r="D15" s="83"/>
      <c r="E15" s="20"/>
      <c r="F15" s="13"/>
      <c r="G15" s="17"/>
      <c r="H15" s="83"/>
      <c r="I15" s="300">
        <f t="shared" si="0"/>
        <v>1540.3400000000001</v>
      </c>
      <c r="J15" s="388"/>
      <c r="L15" s="651" t="s">
        <v>89</v>
      </c>
      <c r="M15" s="652"/>
      <c r="Z15" s="221"/>
    </row>
    <row r="16" spans="1:26">
      <c r="A16" s="224" t="s">
        <v>232</v>
      </c>
      <c r="B16" s="86" t="s">
        <v>140</v>
      </c>
      <c r="C16" s="127"/>
      <c r="D16" s="83"/>
      <c r="E16" s="20"/>
      <c r="F16" s="13"/>
      <c r="G16" s="17"/>
      <c r="H16" s="83"/>
      <c r="I16" s="300">
        <f t="shared" si="0"/>
        <v>0</v>
      </c>
      <c r="J16" s="388"/>
      <c r="L16" s="508"/>
      <c r="M16" s="509"/>
      <c r="Z16" s="221"/>
    </row>
    <row r="17" spans="1:26">
      <c r="A17" s="219" t="s">
        <v>79</v>
      </c>
      <c r="B17" s="86" t="s">
        <v>80</v>
      </c>
      <c r="C17" s="17">
        <f>4.9*2+1.86+2.47+8.01+11.92+3.25+52.1</f>
        <v>89.41</v>
      </c>
      <c r="D17" s="83"/>
      <c r="E17" s="17"/>
      <c r="F17" s="13"/>
      <c r="G17" s="17"/>
      <c r="H17" s="83"/>
      <c r="I17" s="300">
        <f t="shared" si="0"/>
        <v>89.41</v>
      </c>
      <c r="J17" s="388"/>
      <c r="L17" s="359" t="s">
        <v>50</v>
      </c>
      <c r="M17" s="360"/>
      <c r="Z17" s="221"/>
    </row>
    <row r="18" spans="1:26">
      <c r="A18" s="216" t="s">
        <v>82</v>
      </c>
      <c r="B18" s="5" t="s">
        <v>83</v>
      </c>
      <c r="C18" s="157">
        <f>C4-C5</f>
        <v>554.1369624944</v>
      </c>
      <c r="D18" s="121">
        <f>C18/C4</f>
        <v>7.3841115937130636E-2</v>
      </c>
      <c r="E18" s="166">
        <f>E4-E5</f>
        <v>0</v>
      </c>
      <c r="F18" s="122" t="e">
        <f>E18/E4</f>
        <v>#DIV/0!</v>
      </c>
      <c r="G18" s="166">
        <f>G4-G5</f>
        <v>0</v>
      </c>
      <c r="H18" s="122" t="e">
        <f>G18/G4</f>
        <v>#DIV/0!</v>
      </c>
      <c r="I18" s="15">
        <f>I4-I5</f>
        <v>554.1369624944</v>
      </c>
      <c r="J18" s="513">
        <f>I18/I4</f>
        <v>7.3841115937130636E-2</v>
      </c>
      <c r="L18" s="363" t="s">
        <v>53</v>
      </c>
      <c r="M18" s="364">
        <f>J9-I12</f>
        <v>3167.0215375056005</v>
      </c>
      <c r="Z18" s="221"/>
    </row>
    <row r="19" spans="1:26" ht="20.25" customHeight="1">
      <c r="A19" s="225"/>
      <c r="B19" s="98"/>
      <c r="C19" s="98"/>
      <c r="D19" s="98"/>
      <c r="E19" s="98"/>
      <c r="F19" s="98"/>
      <c r="G19" s="98"/>
      <c r="H19" s="98"/>
      <c r="J19" s="221"/>
      <c r="L19" s="377" t="s">
        <v>141</v>
      </c>
      <c r="M19" s="409" t="e">
        <f>M18/V7</f>
        <v>#DIV/0!</v>
      </c>
      <c r="O19" s="631" t="s">
        <v>90</v>
      </c>
      <c r="P19" s="632"/>
      <c r="Q19" s="632"/>
      <c r="R19" s="632"/>
      <c r="S19" s="632"/>
      <c r="T19" s="632"/>
      <c r="U19" s="632"/>
      <c r="V19" s="632"/>
      <c r="W19" s="632"/>
      <c r="X19" s="632"/>
      <c r="Y19" s="633"/>
      <c r="Z19" s="324"/>
    </row>
    <row r="20" spans="1:26" ht="24" customHeight="1">
      <c r="A20" s="521" t="s">
        <v>86</v>
      </c>
      <c r="B20" s="4" t="s">
        <v>87</v>
      </c>
      <c r="C20" s="101"/>
      <c r="D20" s="101"/>
      <c r="E20" s="101"/>
      <c r="F20" s="101"/>
      <c r="G20" s="101"/>
      <c r="H20" s="101"/>
      <c r="J20" s="221"/>
      <c r="O20" s="29" t="str">
        <f>O4</f>
        <v>22/04-28/04</v>
      </c>
      <c r="P20" s="28" t="s">
        <v>230</v>
      </c>
      <c r="Q20" s="154" t="s">
        <v>231</v>
      </c>
      <c r="R20" s="29" t="s">
        <v>233</v>
      </c>
      <c r="S20" s="29" t="s">
        <v>215</v>
      </c>
      <c r="T20" s="299">
        <v>45231</v>
      </c>
      <c r="U20" s="29"/>
      <c r="V20" s="29"/>
      <c r="W20" s="28"/>
      <c r="X20" s="28"/>
      <c r="Y20" s="28"/>
      <c r="Z20" s="684" t="s">
        <v>49</v>
      </c>
    </row>
    <row r="21" spans="1:26">
      <c r="A21" s="226" t="s">
        <v>88</v>
      </c>
      <c r="B21" s="3">
        <f>J6/I5*100</f>
        <v>12.39814660649097</v>
      </c>
      <c r="C21" s="103"/>
      <c r="D21" s="103"/>
      <c r="E21" s="103"/>
      <c r="F21" s="103"/>
      <c r="G21" s="103"/>
      <c r="H21" s="103"/>
      <c r="J21" s="221"/>
      <c r="L21" s="373" t="s">
        <v>100</v>
      </c>
      <c r="M21" s="374"/>
      <c r="O21" s="66">
        <v>1</v>
      </c>
      <c r="P21" s="66">
        <v>2</v>
      </c>
      <c r="Q21" s="66">
        <v>3</v>
      </c>
      <c r="R21" s="66">
        <v>4</v>
      </c>
      <c r="S21" s="66">
        <v>5</v>
      </c>
      <c r="T21" s="66">
        <v>6</v>
      </c>
      <c r="U21" s="66">
        <v>7</v>
      </c>
      <c r="V21" s="66">
        <v>8</v>
      </c>
      <c r="W21" s="66">
        <v>9</v>
      </c>
      <c r="X21" s="66">
        <v>10</v>
      </c>
      <c r="Y21" s="66">
        <v>11</v>
      </c>
      <c r="Z21" s="685"/>
    </row>
    <row r="22" spans="1:26">
      <c r="A22" s="227" t="s">
        <v>89</v>
      </c>
      <c r="B22" s="3">
        <f>J9/I5*100</f>
        <v>53.124701255624927</v>
      </c>
      <c r="C22" s="103"/>
      <c r="D22" s="103"/>
      <c r="E22" s="103"/>
      <c r="F22" s="103"/>
      <c r="G22" s="103"/>
      <c r="H22" s="103"/>
      <c r="J22" s="221"/>
      <c r="L22" s="367" t="s">
        <v>50</v>
      </c>
      <c r="M22" s="368" t="e">
        <f>Y6/M6</f>
        <v>#DIV/0!</v>
      </c>
      <c r="O22" s="69">
        <f>Z22/5</f>
        <v>0</v>
      </c>
      <c r="P22" s="69">
        <f>O22</f>
        <v>0</v>
      </c>
      <c r="Q22" s="69">
        <f>O22</f>
        <v>0</v>
      </c>
      <c r="R22" s="69">
        <f>O22</f>
        <v>0</v>
      </c>
      <c r="S22" s="69"/>
      <c r="T22" s="69"/>
      <c r="U22" s="69"/>
      <c r="V22" s="69"/>
      <c r="W22" s="69"/>
      <c r="X22" s="69"/>
      <c r="Y22" s="69"/>
      <c r="Z22" s="326"/>
    </row>
    <row r="23" spans="1:26">
      <c r="A23" s="228" t="s">
        <v>91</v>
      </c>
      <c r="B23" s="2">
        <f>J14/I5*100</f>
        <v>34.477152137884111</v>
      </c>
      <c r="C23" s="103"/>
      <c r="D23" s="103"/>
      <c r="E23" s="103"/>
      <c r="F23" s="103"/>
      <c r="G23" s="103"/>
      <c r="H23" s="103"/>
      <c r="J23" s="221"/>
      <c r="L23" s="369" t="s">
        <v>53</v>
      </c>
      <c r="M23" s="370" t="e">
        <f>Y7/M6</f>
        <v>#DIV/0!</v>
      </c>
      <c r="O23" s="71">
        <f>598.17+255+7.07+680.1+766.52</f>
        <v>2306.86</v>
      </c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436">
        <f>M28</f>
        <v>2306.86</v>
      </c>
    </row>
    <row r="24" spans="1:26">
      <c r="A24" s="229"/>
      <c r="J24" s="221"/>
      <c r="L24" s="365" t="s">
        <v>146</v>
      </c>
      <c r="M24" s="366" t="e">
        <f>M23*M19</f>
        <v>#DIV/0!</v>
      </c>
      <c r="P24" t="s">
        <v>234</v>
      </c>
      <c r="Z24" s="221"/>
    </row>
    <row r="25" spans="1:26">
      <c r="A25" s="229"/>
      <c r="J25" s="221"/>
      <c r="Z25" s="221"/>
    </row>
    <row r="26" spans="1:26" ht="27" customHeight="1">
      <c r="A26" s="229"/>
      <c r="J26" s="221"/>
      <c r="L26" s="371" t="s">
        <v>90</v>
      </c>
      <c r="M26" s="372"/>
      <c r="Z26" s="221"/>
    </row>
    <row r="27" spans="1:26" ht="27.75" customHeight="1">
      <c r="A27" s="229"/>
      <c r="J27" s="221"/>
      <c r="L27" s="359" t="s">
        <v>50</v>
      </c>
      <c r="M27" s="360"/>
      <c r="Z27" s="221"/>
    </row>
    <row r="28" spans="1:26">
      <c r="A28" s="229"/>
      <c r="J28" s="221"/>
      <c r="L28" s="363" t="s">
        <v>53</v>
      </c>
      <c r="M28" s="364">
        <f>J14-I17</f>
        <v>2306.86</v>
      </c>
      <c r="Z28" s="221"/>
    </row>
    <row r="29" spans="1:26">
      <c r="A29" s="229"/>
      <c r="J29" s="221"/>
      <c r="L29" s="490" t="s">
        <v>147</v>
      </c>
      <c r="M29" s="366" t="e">
        <f>M28/V7</f>
        <v>#DIV/0!</v>
      </c>
      <c r="Z29" s="221"/>
    </row>
    <row r="30" spans="1:26">
      <c r="A30" s="229"/>
      <c r="J30" s="221"/>
      <c r="Z30" s="221"/>
    </row>
    <row r="31" spans="1:26">
      <c r="A31" s="229"/>
      <c r="J31" s="221"/>
      <c r="L31" s="503" t="s">
        <v>92</v>
      </c>
      <c r="M31" s="504"/>
      <c r="Z31" s="221"/>
    </row>
    <row r="32" spans="1:26" ht="27.75">
      <c r="A32" s="229"/>
      <c r="J32" s="221"/>
      <c r="L32" s="505" t="s">
        <v>93</v>
      </c>
      <c r="M32" s="506"/>
      <c r="Z32" s="221"/>
    </row>
    <row r="33" spans="1:26">
      <c r="A33" s="229"/>
      <c r="J33" s="221"/>
      <c r="Z33" s="221"/>
    </row>
    <row r="34" spans="1:26">
      <c r="A34" s="229"/>
      <c r="J34" s="221"/>
      <c r="L34" s="686" t="s">
        <v>94</v>
      </c>
      <c r="M34" s="687"/>
      <c r="Z34" s="221"/>
    </row>
    <row r="35" spans="1:26">
      <c r="A35" s="230"/>
      <c r="B35" s="231"/>
      <c r="C35" s="231"/>
      <c r="D35" s="231"/>
      <c r="E35" s="231"/>
      <c r="F35" s="231"/>
      <c r="G35" s="231"/>
      <c r="H35" s="231"/>
      <c r="I35" s="231"/>
      <c r="J35" s="232"/>
      <c r="K35" s="231"/>
      <c r="L35" s="688">
        <v>45419</v>
      </c>
      <c r="M35" s="689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2"/>
    </row>
  </sheetData>
  <mergeCells count="15">
    <mergeCell ref="L34:M34"/>
    <mergeCell ref="L35:M35"/>
    <mergeCell ref="Z4:Z5"/>
    <mergeCell ref="O19:Y19"/>
    <mergeCell ref="L11:M11"/>
    <mergeCell ref="L15:M15"/>
    <mergeCell ref="Z20:Z21"/>
    <mergeCell ref="A2:J2"/>
    <mergeCell ref="L2:Z2"/>
    <mergeCell ref="C3:D3"/>
    <mergeCell ref="E3:F3"/>
    <mergeCell ref="G3:H3"/>
    <mergeCell ref="I3:J3"/>
    <mergeCell ref="L3:M3"/>
    <mergeCell ref="O3:Y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greaterThan" id="{AA428273-C5DB-4C6D-8FE1-F80E22B28964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ellIs" priority="1" operator="greaterThan" id="{EDD5336C-D32C-48C0-AB1D-B73BEE547C06}">
            <xm:f>MAT!#REF!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M19</xm:sqref>
        </x14:conditionalFormatting>
        <x14:conditionalFormatting xmlns:xm="http://schemas.microsoft.com/office/excel/2006/main">
          <x14:cfRule type="cellIs" priority="4" operator="greaterThan" id="{47B25826-CD4C-4E2D-A502-BBC9B4722030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M21</xm:sqref>
        </x14:conditionalFormatting>
        <x14:conditionalFormatting xmlns:xm="http://schemas.microsoft.com/office/excel/2006/main">
          <x14:cfRule type="cellIs" priority="3" operator="greaterThan" id="{08B487E1-1F89-4162-878B-F880EFEF1B0F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M24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DF4E-0BDE-406F-8C23-E3EB22DA1A57}">
  <sheetPr>
    <pageSetUpPr fitToPage="1"/>
  </sheetPr>
  <dimension ref="A1:AB142"/>
  <sheetViews>
    <sheetView topLeftCell="A113" workbookViewId="0">
      <selection activeCell="D138" sqref="D138:D139"/>
    </sheetView>
  </sheetViews>
  <sheetFormatPr defaultRowHeight="15" outlineLevelCol="1"/>
  <cols>
    <col min="1" max="1" width="35.140625" customWidth="1"/>
    <col min="2" max="2" width="30" customWidth="1"/>
    <col min="3" max="3" width="12.28515625" customWidth="1"/>
    <col min="4" max="4" width="12.7109375" customWidth="1"/>
    <col min="5" max="5" width="12.5703125" customWidth="1"/>
    <col min="6" max="6" width="10.140625" customWidth="1"/>
    <col min="7" max="7" width="10.7109375" customWidth="1" outlineLevel="1"/>
    <col min="8" max="8" width="11.28515625" customWidth="1" outlineLevel="1"/>
    <col min="9" max="9" width="12.85546875" customWidth="1"/>
    <col min="10" max="10" width="10.7109375" customWidth="1"/>
    <col min="11" max="11" width="3.28515625" customWidth="1"/>
    <col min="12" max="12" width="23.7109375" customWidth="1"/>
    <col min="13" max="13" width="18.140625" bestFit="1" customWidth="1"/>
    <col min="14" max="14" width="2.85546875" customWidth="1"/>
    <col min="15" max="18" width="10.7109375" customWidth="1"/>
    <col min="19" max="22" width="12.7109375" customWidth="1"/>
    <col min="23" max="24" width="12.7109375" customWidth="1" outlineLevel="1"/>
    <col min="25" max="25" width="12.28515625" customWidth="1" outlineLevel="1"/>
    <col min="26" max="27" width="12.7109375" customWidth="1"/>
  </cols>
  <sheetData>
    <row r="1" spans="1:28" ht="25.5" customHeight="1">
      <c r="A1" s="187" t="s">
        <v>235</v>
      </c>
      <c r="B1" s="634" t="s">
        <v>236</v>
      </c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</row>
    <row r="2" spans="1:28" ht="18.75">
      <c r="A2" s="635" t="s">
        <v>30</v>
      </c>
      <c r="B2" s="636"/>
      <c r="C2" s="656"/>
      <c r="D2" s="656"/>
      <c r="E2" s="636"/>
      <c r="F2" s="636"/>
      <c r="G2" s="636"/>
      <c r="H2" s="636"/>
      <c r="I2" s="636"/>
      <c r="J2" s="637"/>
      <c r="K2" s="7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705"/>
    </row>
    <row r="3" spans="1:28" ht="15.75" customHeight="1">
      <c r="A3" s="78"/>
      <c r="C3" s="690" t="s">
        <v>99</v>
      </c>
      <c r="D3" s="691"/>
      <c r="E3" s="692" t="s">
        <v>237</v>
      </c>
      <c r="F3" s="641"/>
      <c r="G3" s="640" t="s">
        <v>192</v>
      </c>
      <c r="H3" s="641"/>
      <c r="I3" s="642" t="s">
        <v>36</v>
      </c>
      <c r="J3" s="643"/>
      <c r="L3" s="670" t="s">
        <v>138</v>
      </c>
      <c r="M3" s="671"/>
      <c r="N3" s="110"/>
      <c r="O3" s="644" t="s">
        <v>13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237"/>
    </row>
    <row r="4" spans="1:28" ht="16.5" customHeight="1">
      <c r="A4" s="79" t="s">
        <v>40</v>
      </c>
      <c r="B4" s="5" t="s">
        <v>41</v>
      </c>
      <c r="C4" s="77">
        <f>M4/2</f>
        <v>315236.03999999998</v>
      </c>
      <c r="D4" s="11"/>
      <c r="E4" s="203">
        <f>M4/2</f>
        <v>315236.03999999998</v>
      </c>
      <c r="G4" s="77">
        <f>I4*0.7</f>
        <v>441330.45599999995</v>
      </c>
      <c r="I4" s="142">
        <f>E4+C4</f>
        <v>630472.07999999996</v>
      </c>
      <c r="J4" s="80">
        <f>D4+F4</f>
        <v>0</v>
      </c>
      <c r="L4" s="349" t="s">
        <v>64</v>
      </c>
      <c r="M4" s="502">
        <f>B42-49112</f>
        <v>630472.07999999996</v>
      </c>
      <c r="N4" s="110"/>
      <c r="O4" s="158" t="s">
        <v>238</v>
      </c>
      <c r="P4" s="29" t="s">
        <v>239</v>
      </c>
      <c r="Q4" s="28" t="s">
        <v>240</v>
      </c>
      <c r="R4" s="154" t="s">
        <v>241</v>
      </c>
      <c r="S4" s="29" t="s">
        <v>242</v>
      </c>
      <c r="T4" s="29" t="s">
        <v>243</v>
      </c>
      <c r="U4" s="29" t="s">
        <v>244</v>
      </c>
      <c r="V4" s="29" t="s">
        <v>245</v>
      </c>
      <c r="W4" s="29" t="s">
        <v>246</v>
      </c>
      <c r="X4" s="29" t="s">
        <v>193</v>
      </c>
      <c r="Y4" s="29"/>
      <c r="Z4" s="627" t="s">
        <v>49</v>
      </c>
    </row>
    <row r="5" spans="1:28">
      <c r="A5" s="79" t="s">
        <v>51</v>
      </c>
      <c r="B5" s="5" t="s">
        <v>52</v>
      </c>
      <c r="C5" s="161">
        <f>C6+C7+C8+C9+C10+C11+C13+C14+C17+C15+C12+C16</f>
        <v>135618.18369075676</v>
      </c>
      <c r="D5" s="12"/>
      <c r="E5" s="190">
        <f>E6+E7+E8+E9+E10+E11+E13+E14+E17+E15+E12+E16</f>
        <v>141437.42238363661</v>
      </c>
      <c r="F5" s="5"/>
      <c r="G5" s="161">
        <f>G6+G7+G8+G9+G10+G11+G13+G14+G17+G15+G12+G16</f>
        <v>128675.54865853713</v>
      </c>
      <c r="H5" s="5"/>
      <c r="I5" s="143">
        <f>I6+I7+I8+I9+I10+I11+I13+I14+I17+I15+I12+I16</f>
        <v>405731.15473293047</v>
      </c>
      <c r="J5" s="81"/>
      <c r="L5" s="399" t="s">
        <v>67</v>
      </c>
      <c r="M5" s="400"/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704"/>
    </row>
    <row r="6" spans="1:28">
      <c r="A6" s="82" t="s">
        <v>54</v>
      </c>
      <c r="B6" s="75" t="s">
        <v>55</v>
      </c>
      <c r="C6" s="538">
        <f>20076.75+D92-D88+2530.04</f>
        <v>42486.908717504339</v>
      </c>
      <c r="D6" s="250">
        <f>C6+C7+C8</f>
        <v>78079.436031195859</v>
      </c>
      <c r="E6" s="250">
        <f>D120+24619.13+42.06</f>
        <v>48834.635407279027</v>
      </c>
      <c r="F6" s="250">
        <f>E6+E7+E8</f>
        <v>63278.690866551129</v>
      </c>
      <c r="G6" s="259">
        <f>D140+6488.27+227.61</f>
        <v>11148.181559792029</v>
      </c>
      <c r="H6" s="250">
        <f>G6+G7+G8</f>
        <v>86858.283327556332</v>
      </c>
      <c r="I6" s="535">
        <f>C6+E6+G6</f>
        <v>102469.72568457539</v>
      </c>
      <c r="J6" s="84">
        <f>I6+I7+I8</f>
        <v>228216.41022530332</v>
      </c>
      <c r="L6" s="351" t="s">
        <v>71</v>
      </c>
      <c r="M6" s="352">
        <v>555</v>
      </c>
      <c r="O6" s="40">
        <f>Z6/8</f>
        <v>437.87124999999997</v>
      </c>
      <c r="P6" s="40">
        <f>O6</f>
        <v>437.87124999999997</v>
      </c>
      <c r="Q6" s="40">
        <f>O6</f>
        <v>437.87124999999997</v>
      </c>
      <c r="R6" s="40">
        <f>O6</f>
        <v>437.87124999999997</v>
      </c>
      <c r="S6" s="40">
        <f>O6</f>
        <v>437.87124999999997</v>
      </c>
      <c r="T6" s="40">
        <f>O6</f>
        <v>437.87124999999997</v>
      </c>
      <c r="U6" s="41">
        <f>O6</f>
        <v>437.87124999999997</v>
      </c>
      <c r="V6" s="41">
        <f>O6</f>
        <v>437.87124999999997</v>
      </c>
      <c r="W6" s="41"/>
      <c r="X6" s="41"/>
      <c r="Y6" s="41"/>
      <c r="Z6" s="253">
        <v>3502.97</v>
      </c>
    </row>
    <row r="7" spans="1:28">
      <c r="A7" s="85" t="s">
        <v>56</v>
      </c>
      <c r="B7" s="86" t="s">
        <v>57</v>
      </c>
      <c r="C7" s="259"/>
      <c r="D7" s="13"/>
      <c r="E7" s="250">
        <f>650+490+840+1200+390+540+250</f>
        <v>4360</v>
      </c>
      <c r="F7" s="13"/>
      <c r="G7" s="17">
        <f>190+690+650+440+390+100+675</f>
        <v>3135</v>
      </c>
      <c r="H7" s="13"/>
      <c r="I7" s="9">
        <f t="shared" ref="I7:I17" si="0">C7+E7+G7</f>
        <v>7495</v>
      </c>
      <c r="J7" s="84"/>
      <c r="L7" s="353" t="s">
        <v>74</v>
      </c>
      <c r="M7" s="354" t="s">
        <v>75</v>
      </c>
      <c r="O7" s="49">
        <f>21.78+15.13+15.65+20.3+21.72</f>
        <v>94.58</v>
      </c>
      <c r="P7" s="50">
        <f>54.83+54.1+44.77+54.72+54.87+44.82+54.78</f>
        <v>362.89</v>
      </c>
      <c r="Q7" s="50">
        <f>54.65+58.15+8.67+54.28+54.52+8.68+54.43</f>
        <v>293.38</v>
      </c>
      <c r="R7" s="50">
        <f>50.03+49.88+49.03+49.92+50.12+38.98+50+7.23+7.32+7.27+7.33+7.3+7.27+10.2</f>
        <v>391.88</v>
      </c>
      <c r="S7" s="50">
        <v>375</v>
      </c>
      <c r="T7" s="50">
        <v>485.8</v>
      </c>
      <c r="U7" s="51">
        <v>485.08</v>
      </c>
      <c r="V7" s="51">
        <v>441.48</v>
      </c>
      <c r="W7" s="51">
        <v>306.47000000000003</v>
      </c>
      <c r="X7" s="51">
        <v>200.75</v>
      </c>
      <c r="Y7" s="51"/>
      <c r="Z7" s="254">
        <f t="shared" ref="Z7" si="1">O7+P7+Q7+R7+S7+T7+Y7+U7+V7+W7+X7</f>
        <v>3437.3100000000004</v>
      </c>
      <c r="AB7" s="1">
        <f>I9+I10+I11+I13+I14+I15</f>
        <v>81898.107230261492</v>
      </c>
    </row>
    <row r="8" spans="1:28">
      <c r="A8" s="87" t="s">
        <v>58</v>
      </c>
      <c r="B8" s="76" t="s">
        <v>59</v>
      </c>
      <c r="C8" s="144">
        <f>197.38+D54+D58</f>
        <v>35592.527313691513</v>
      </c>
      <c r="D8" s="14"/>
      <c r="E8" s="146">
        <f>D59+D61+D65+D67</f>
        <v>10084.055459272098</v>
      </c>
      <c r="F8" s="14"/>
      <c r="G8" s="144">
        <f>D55+D66+D62+6838.36-3700+D53+D63+D60+D57+D56+D64</f>
        <v>72575.10176776431</v>
      </c>
      <c r="H8" s="14"/>
      <c r="I8" s="174">
        <f t="shared" si="0"/>
        <v>118251.68454072792</v>
      </c>
      <c r="J8" s="89"/>
      <c r="L8" s="355" t="s">
        <v>78</v>
      </c>
      <c r="M8" s="465">
        <v>13</v>
      </c>
      <c r="Z8" s="99"/>
      <c r="AB8">
        <f>AB7/Z7</f>
        <v>23.826220861738243</v>
      </c>
    </row>
    <row r="9" spans="1:28">
      <c r="A9" s="82" t="s">
        <v>60</v>
      </c>
      <c r="B9" s="75" t="s">
        <v>61</v>
      </c>
      <c r="C9" s="257">
        <f>7493*1.42</f>
        <v>10640.06</v>
      </c>
      <c r="D9" s="141">
        <f>C9+C10+C11+C13+C12</f>
        <v>43918.576966319997</v>
      </c>
      <c r="E9" s="249">
        <f>(13789.43+30.61+107+109.69+109.14)*1.42</f>
        <v>20087.135399999999</v>
      </c>
      <c r="F9" s="128">
        <f>E9+E10+E11+E13+E12</f>
        <v>60778.268692128797</v>
      </c>
      <c r="G9" s="573">
        <f>(5104.42-G13)*1.42</f>
        <v>3840.2763999999997</v>
      </c>
      <c r="H9" s="128">
        <f>G9+G10+G11+G13+G12</f>
        <v>38419.025330980803</v>
      </c>
      <c r="I9" s="169">
        <f t="shared" si="0"/>
        <v>34567.471799999999</v>
      </c>
      <c r="J9" s="90">
        <f>I9+I10+I11+I13+I12</f>
        <v>143115.87098942959</v>
      </c>
      <c r="L9" s="357" t="s">
        <v>81</v>
      </c>
      <c r="M9" s="358">
        <v>12</v>
      </c>
      <c r="Z9" s="99"/>
    </row>
    <row r="10" spans="1:28">
      <c r="A10" s="85" t="s">
        <v>62</v>
      </c>
      <c r="B10" s="86" t="s">
        <v>63</v>
      </c>
      <c r="C10" s="126">
        <f>C9*0.2359</f>
        <v>2509.9901540000001</v>
      </c>
      <c r="D10" s="13"/>
      <c r="E10" s="250">
        <f>E9*0.2359</f>
        <v>4738.5552408599997</v>
      </c>
      <c r="F10" s="83"/>
      <c r="G10" s="126">
        <f>G9*0.2359</f>
        <v>905.92120275999991</v>
      </c>
      <c r="H10" s="83"/>
      <c r="I10" s="169">
        <f t="shared" si="0"/>
        <v>8154.4665976199994</v>
      </c>
      <c r="J10" s="89">
        <f>J9-I12</f>
        <v>68089.693469429592</v>
      </c>
      <c r="Z10" s="99"/>
      <c r="AB10" s="1">
        <f>73312+I14+I15</f>
        <v>87120.4137608319</v>
      </c>
    </row>
    <row r="11" spans="1:28">
      <c r="A11" s="85" t="s">
        <v>65</v>
      </c>
      <c r="B11" s="86" t="s">
        <v>66</v>
      </c>
      <c r="C11" s="126">
        <f>(C9+C10)*0.08</f>
        <v>1052.0040123200001</v>
      </c>
      <c r="D11" s="13"/>
      <c r="E11" s="250">
        <f>(E9+E10)*0.08</f>
        <v>1986.0552512687998</v>
      </c>
      <c r="F11" s="83"/>
      <c r="G11" s="126">
        <f>(G9+G10)*0.08</f>
        <v>379.69580822079996</v>
      </c>
      <c r="H11" s="83"/>
      <c r="I11" s="169">
        <f t="shared" si="0"/>
        <v>3417.7550718095995</v>
      </c>
      <c r="J11" s="89"/>
      <c r="L11" s="674" t="s">
        <v>85</v>
      </c>
      <c r="M11" s="675"/>
      <c r="Z11" s="99"/>
      <c r="AB11">
        <f>AB10/Z7</f>
        <v>25.345521282872912</v>
      </c>
    </row>
    <row r="12" spans="1:28">
      <c r="A12" s="91" t="s">
        <v>68</v>
      </c>
      <c r="B12" s="92" t="s">
        <v>21</v>
      </c>
      <c r="C12" s="127">
        <f>(C4)*0.07</f>
        <v>22066.522799999999</v>
      </c>
      <c r="D12" s="127"/>
      <c r="E12" s="259">
        <f t="shared" ref="D12:F12" si="2">(E4)*0.07</f>
        <v>22066.522799999999</v>
      </c>
      <c r="F12" s="127"/>
      <c r="G12" s="127">
        <f>(G4)*0.07</f>
        <v>30893.13192</v>
      </c>
      <c r="H12" s="123"/>
      <c r="I12" s="169">
        <f t="shared" si="0"/>
        <v>75026.177519999997</v>
      </c>
      <c r="J12" s="89"/>
      <c r="L12" s="359" t="s">
        <v>50</v>
      </c>
      <c r="M12" s="360">
        <v>122603.78</v>
      </c>
      <c r="Z12" s="99"/>
    </row>
    <row r="13" spans="1:28">
      <c r="A13" s="85" t="s">
        <v>69</v>
      </c>
      <c r="B13" s="86" t="s">
        <v>70</v>
      </c>
      <c r="C13" s="130">
        <v>7650</v>
      </c>
      <c r="D13" s="134"/>
      <c r="E13" s="251">
        <v>11900</v>
      </c>
      <c r="F13" s="125"/>
      <c r="G13" s="260">
        <f>(5*7+4+9)*50</f>
        <v>2400</v>
      </c>
      <c r="H13" s="125"/>
      <c r="I13" s="171">
        <f t="shared" si="0"/>
        <v>21950</v>
      </c>
      <c r="J13" s="93"/>
      <c r="L13" s="361" t="s">
        <v>53</v>
      </c>
      <c r="M13" s="362">
        <f>J6-I8</f>
        <v>109964.7256845754</v>
      </c>
      <c r="Z13" s="99"/>
    </row>
    <row r="14" spans="1:28">
      <c r="A14" s="94" t="s">
        <v>72</v>
      </c>
      <c r="B14" s="75" t="s">
        <v>73</v>
      </c>
      <c r="C14" s="259">
        <f>D47</f>
        <v>2740.4679376083191</v>
      </c>
      <c r="D14" s="145">
        <f>C14+C17+C15+C16</f>
        <v>13620.170693240903</v>
      </c>
      <c r="E14" s="145">
        <f>D48+D49+D50+D51+D52+66.6</f>
        <v>6872.9258232235707</v>
      </c>
      <c r="F14" s="145">
        <f>E14+E17+E15+E16</f>
        <v>17380.46282495667</v>
      </c>
      <c r="G14" s="127"/>
      <c r="H14" s="145">
        <f>G14+G17+G15+G16</f>
        <v>3398.2400000000002</v>
      </c>
      <c r="I14" s="9">
        <f t="shared" si="0"/>
        <v>9613.3937608318902</v>
      </c>
      <c r="J14" s="89">
        <f>I14+I17+I15+I16</f>
        <v>34398.873518197579</v>
      </c>
      <c r="Z14" s="99"/>
    </row>
    <row r="15" spans="1:28">
      <c r="A15" s="95" t="s">
        <v>76</v>
      </c>
      <c r="B15" s="86" t="s">
        <v>77</v>
      </c>
      <c r="C15" s="259">
        <f>373.6+117.18+82.18+63.32</f>
        <v>636.28000000000009</v>
      </c>
      <c r="D15" s="13"/>
      <c r="E15" s="145">
        <f>122.14+46.29+10.15+153.26+71.96+345.05+10.15+6.28+13.29+187.23+776.91</f>
        <v>1742.71</v>
      </c>
      <c r="F15" s="13"/>
      <c r="G15" s="20">
        <f>70.13+327.34+87.13+46.29+582.3+273.84+429</f>
        <v>1816.03</v>
      </c>
      <c r="H15" s="13"/>
      <c r="I15" s="9">
        <f t="shared" si="0"/>
        <v>4195.0200000000004</v>
      </c>
      <c r="J15" s="89"/>
      <c r="L15" s="651" t="s">
        <v>89</v>
      </c>
      <c r="M15" s="652"/>
      <c r="Z15" s="99"/>
    </row>
    <row r="16" spans="1:28">
      <c r="A16" s="224" t="s">
        <v>139</v>
      </c>
      <c r="B16" s="86" t="s">
        <v>140</v>
      </c>
      <c r="C16" s="259">
        <f>72.87+2656.15+137.97+22.03+25.49+20.74+11.15+30.17+200+55.19+6+212.04+90.19+23.32+66.91+29.7+29.3+15.25+118.45+23.32+29.29*2+20.99+77.11+92.58+61.75+186.19</f>
        <v>4343.4399999999996</v>
      </c>
      <c r="D16" s="13"/>
      <c r="E16" s="13">
        <f>12+97.73+328.24+186.19+52.95+55.29+61.65+84.82+87.63+11.41+20+41.37+37.65+250+200+200*1.42+252.78+161.95</f>
        <v>2225.66</v>
      </c>
      <c r="F16" s="13"/>
      <c r="G16" s="20">
        <f>48.77+38.05+202.47+42.97+163.41+52.72+30.75+178.18+118.48+29.62+12</f>
        <v>917.42</v>
      </c>
      <c r="H16" s="13"/>
      <c r="I16" s="9">
        <f t="shared" si="0"/>
        <v>7486.5199999999995</v>
      </c>
      <c r="J16" s="89"/>
      <c r="L16" s="359" t="s">
        <v>50</v>
      </c>
      <c r="M16" s="360">
        <v>126505.68</v>
      </c>
      <c r="Z16" s="99"/>
    </row>
    <row r="17" spans="1:26">
      <c r="A17" s="85" t="s">
        <v>79</v>
      </c>
      <c r="B17" s="86" t="s">
        <v>80</v>
      </c>
      <c r="C17" s="259">
        <f>125+1625.76+73.36+424.66+86.56+10.46+9.35+36.37+36.57+36.62+36.44+36.48+15.41+36.37+36.62+36.69+1.03+1.69+36.66+36.69+36.64+26.92+51.65+47.39+21.63+36.92+36.82+37.13+37.08+37.03+4.96+19.97+262.72+D88+D91</f>
        <v>5899.9827556325827</v>
      </c>
      <c r="D17" s="13"/>
      <c r="E17" s="145">
        <f>37.25+42.09+248.52+174.02+27.41+37.86+38.14+1.09+37.7+25.72+37.53+22.35+496.14+24.92+37.83+37.83+5.12+1.09+37.82+D117+358.44+37.92+38*2+6.78*2+67.78+37.46+37.91+37.89+37.82+17.73+29.64*2+29.73+37.46+4+63.31+192.83+38+D118+174.13</f>
        <v>6539.1670017331016</v>
      </c>
      <c r="F17" s="13"/>
      <c r="G17" s="17">
        <f>21.11+158.7+37.5+10.58+109.78+5.29+7.64+7.31+213.29+93.59</f>
        <v>664.79000000000008</v>
      </c>
      <c r="H17" s="13"/>
      <c r="I17" s="9">
        <f t="shared" si="0"/>
        <v>13103.939757365686</v>
      </c>
      <c r="J17" s="89"/>
      <c r="L17" s="363" t="s">
        <v>53</v>
      </c>
      <c r="M17" s="364">
        <f>J9-I12</f>
        <v>68089.693469429592</v>
      </c>
      <c r="Z17" s="99"/>
    </row>
    <row r="18" spans="1:26">
      <c r="A18" s="79" t="s">
        <v>82</v>
      </c>
      <c r="B18" s="5" t="s">
        <v>83</v>
      </c>
      <c r="C18" s="515">
        <f>C4-C5</f>
        <v>179617.85630924322</v>
      </c>
      <c r="D18" s="516">
        <f>C18/C4</f>
        <v>0.56978845537218148</v>
      </c>
      <c r="E18" s="517">
        <f>E4-E5</f>
        <v>173798.61761636336</v>
      </c>
      <c r="F18" s="516">
        <f>E18/E4</f>
        <v>0.55132851439309849</v>
      </c>
      <c r="G18" s="515">
        <f>G4-G5</f>
        <v>312654.90734146279</v>
      </c>
      <c r="H18" s="516">
        <f>G18/G4</f>
        <v>0.70843718825845736</v>
      </c>
      <c r="I18" s="15">
        <f>I4-I5</f>
        <v>224740.92526706948</v>
      </c>
      <c r="J18" s="96">
        <f>I18/I4</f>
        <v>0.35646451666356027</v>
      </c>
      <c r="L18" s="377" t="s">
        <v>141</v>
      </c>
      <c r="M18" s="470">
        <f>M17/Z7</f>
        <v>19.80900572524142</v>
      </c>
      <c r="Z18" s="99"/>
    </row>
    <row r="19" spans="1:26">
      <c r="A19" s="97" t="s">
        <v>142</v>
      </c>
      <c r="B19" s="98" t="s">
        <v>143</v>
      </c>
      <c r="C19" s="499"/>
      <c r="D19" s="500"/>
      <c r="E19" s="499"/>
      <c r="F19" s="500"/>
      <c r="G19" s="499"/>
      <c r="H19" s="500"/>
      <c r="I19" s="501">
        <f>M4-299847</f>
        <v>330625.07999999996</v>
      </c>
      <c r="J19" s="498">
        <f>I19/M4</f>
        <v>0.52440875732355985</v>
      </c>
      <c r="Z19" s="99"/>
    </row>
    <row r="20" spans="1:26" ht="20.25" customHeight="1">
      <c r="A20" s="97"/>
      <c r="B20" s="98"/>
      <c r="C20" s="98"/>
      <c r="D20" s="98"/>
      <c r="E20" s="98"/>
      <c r="F20" s="98"/>
      <c r="G20" s="98"/>
      <c r="H20" s="98"/>
      <c r="J20" s="99"/>
      <c r="L20" s="373" t="s">
        <v>100</v>
      </c>
      <c r="M20" s="374"/>
      <c r="O20" s="644" t="s">
        <v>90</v>
      </c>
      <c r="P20" s="645"/>
      <c r="Q20" s="645"/>
      <c r="R20" s="645"/>
      <c r="S20" s="645"/>
      <c r="T20" s="645"/>
      <c r="U20" s="645"/>
      <c r="V20" s="645"/>
      <c r="W20" s="645"/>
      <c r="X20" s="645"/>
      <c r="Y20" s="646"/>
      <c r="Z20" s="111"/>
    </row>
    <row r="21" spans="1:26" ht="24" customHeight="1">
      <c r="A21" s="395" t="s">
        <v>86</v>
      </c>
      <c r="B21" s="412" t="s">
        <v>144</v>
      </c>
      <c r="C21" s="445" t="s">
        <v>145</v>
      </c>
      <c r="D21" s="101"/>
      <c r="E21" s="101"/>
      <c r="F21" s="101"/>
      <c r="G21" s="101"/>
      <c r="H21" s="101"/>
      <c r="J21" s="99"/>
      <c r="L21" s="367" t="s">
        <v>50</v>
      </c>
      <c r="M21" s="368">
        <f>Z6/M6</f>
        <v>6.3116576576576575</v>
      </c>
      <c r="O21" s="158" t="s">
        <v>247</v>
      </c>
      <c r="P21" s="29" t="s">
        <v>239</v>
      </c>
      <c r="Q21" s="28" t="s">
        <v>240</v>
      </c>
      <c r="R21" s="154" t="s">
        <v>241</v>
      </c>
      <c r="S21" s="29" t="s">
        <v>242</v>
      </c>
      <c r="T21" s="29" t="s">
        <v>243</v>
      </c>
      <c r="U21" s="29" t="s">
        <v>244</v>
      </c>
      <c r="V21" s="29" t="s">
        <v>248</v>
      </c>
      <c r="W21" s="29" t="s">
        <v>246</v>
      </c>
      <c r="X21" s="29" t="s">
        <v>193</v>
      </c>
      <c r="Y21" s="28"/>
      <c r="Z21" s="702" t="s">
        <v>49</v>
      </c>
    </row>
    <row r="22" spans="1:26">
      <c r="A22" s="226" t="s">
        <v>88</v>
      </c>
      <c r="B22" s="449">
        <f>(J6)/I5</f>
        <v>0.56248184928151523</v>
      </c>
      <c r="C22" s="410">
        <f>126505.68/299847</f>
        <v>0.42190076939239007</v>
      </c>
      <c r="D22" s="103"/>
      <c r="E22" s="103"/>
      <c r="F22" s="103"/>
      <c r="G22" s="103"/>
      <c r="H22" s="103"/>
      <c r="I22" s="1"/>
      <c r="J22" s="99"/>
      <c r="L22" s="369" t="s">
        <v>53</v>
      </c>
      <c r="M22" s="370">
        <f>Z7/M6</f>
        <v>6.1933513513513523</v>
      </c>
      <c r="O22" s="66">
        <v>1</v>
      </c>
      <c r="P22" s="66">
        <v>2</v>
      </c>
      <c r="Q22" s="66">
        <v>3</v>
      </c>
      <c r="R22" s="66">
        <v>4</v>
      </c>
      <c r="S22" s="66">
        <v>5</v>
      </c>
      <c r="T22" s="66">
        <v>6</v>
      </c>
      <c r="U22" s="66">
        <v>7</v>
      </c>
      <c r="V22" s="66">
        <v>8</v>
      </c>
      <c r="W22" s="66">
        <v>9</v>
      </c>
      <c r="X22" s="66">
        <v>10</v>
      </c>
      <c r="Y22" s="66">
        <v>11</v>
      </c>
      <c r="Z22" s="703"/>
    </row>
    <row r="23" spans="1:26">
      <c r="A23" s="227" t="s">
        <v>89</v>
      </c>
      <c r="B23" s="449">
        <f>J9/I5</f>
        <v>0.3527357199957557</v>
      </c>
      <c r="C23" s="410">
        <f>122603.78/299847</f>
        <v>0.4088877994443833</v>
      </c>
      <c r="D23" s="103"/>
      <c r="E23" s="103"/>
      <c r="F23" s="103"/>
      <c r="G23" s="103"/>
      <c r="H23" s="103"/>
      <c r="J23" s="99"/>
      <c r="L23" s="365" t="s">
        <v>146</v>
      </c>
      <c r="M23" s="366">
        <f>M22*M18</f>
        <v>122.68413237735062</v>
      </c>
      <c r="O23" s="69">
        <f>Z23/8</f>
        <v>1912.5</v>
      </c>
      <c r="P23" s="69">
        <f>O23</f>
        <v>1912.5</v>
      </c>
      <c r="Q23" s="69">
        <f>O23</f>
        <v>1912.5</v>
      </c>
      <c r="R23" s="69">
        <f>O23</f>
        <v>1912.5</v>
      </c>
      <c r="S23" s="69">
        <f>O23</f>
        <v>1912.5</v>
      </c>
      <c r="T23" s="69">
        <f>O23</f>
        <v>1912.5</v>
      </c>
      <c r="U23" s="69">
        <f>O23</f>
        <v>1912.5</v>
      </c>
      <c r="V23" s="69">
        <f>O23</f>
        <v>1912.5</v>
      </c>
      <c r="W23" s="69"/>
      <c r="X23" s="69"/>
      <c r="Y23" s="69"/>
      <c r="Z23" s="119">
        <f>M26</f>
        <v>15300</v>
      </c>
    </row>
    <row r="24" spans="1:26">
      <c r="A24" s="489" t="s">
        <v>91</v>
      </c>
      <c r="B24" s="484">
        <f>(J14)/I5</f>
        <v>8.4782430722729146E-2</v>
      </c>
      <c r="C24" s="381">
        <f>50737.73/299847</f>
        <v>0.16921206481972473</v>
      </c>
      <c r="D24" s="103"/>
      <c r="E24" s="103"/>
      <c r="F24" s="103"/>
      <c r="G24" s="103"/>
      <c r="H24" s="103"/>
      <c r="J24" s="99"/>
      <c r="O24" s="71">
        <f>373.6+117.18+82.18+D47</f>
        <v>3313.4279376083191</v>
      </c>
      <c r="P24" s="72"/>
      <c r="Q24" s="72">
        <f>63.32+D48</f>
        <v>3351.8815251299829</v>
      </c>
      <c r="R24" s="72"/>
      <c r="S24" s="72">
        <f>122.14+438.47+776.91</f>
        <v>1337.52</v>
      </c>
      <c r="T24" s="72">
        <f>46.29+1981+10.15+153.26</f>
        <v>2190.6999999999998</v>
      </c>
      <c r="U24" s="72">
        <f>71.96+345.05+10.15</f>
        <v>427.15999999999997</v>
      </c>
      <c r="V24" s="72">
        <f>66.6+6.28+13.29+187.23</f>
        <v>273.39999999999998</v>
      </c>
      <c r="W24" s="72">
        <f>87.13+46.29</f>
        <v>133.41999999999999</v>
      </c>
      <c r="X24" s="72">
        <f>327.34+582.3+273.84+429</f>
        <v>1612.4799999999998</v>
      </c>
      <c r="Y24" s="72"/>
      <c r="Z24" s="186">
        <f t="shared" ref="Z24" si="3">O24+P24+Q24+R24+S24+T24+Y24+U24+V24+W24+X24</f>
        <v>12639.9894627383</v>
      </c>
    </row>
    <row r="25" spans="1:26">
      <c r="A25" s="78"/>
      <c r="J25" s="99"/>
      <c r="L25" s="371" t="s">
        <v>90</v>
      </c>
      <c r="M25" s="372"/>
      <c r="Z25" s="99"/>
    </row>
    <row r="26" spans="1:26">
      <c r="A26" s="78"/>
      <c r="J26" s="99"/>
      <c r="L26" s="359" t="s">
        <v>50</v>
      </c>
      <c r="M26" s="360">
        <f>1400*9+300*9</f>
        <v>15300</v>
      </c>
      <c r="Z26" s="99"/>
    </row>
    <row r="27" spans="1:26">
      <c r="A27" s="78"/>
      <c r="J27" s="99"/>
      <c r="L27" s="363" t="s">
        <v>53</v>
      </c>
      <c r="M27" s="364">
        <f>I14+I15</f>
        <v>13808.413760831891</v>
      </c>
      <c r="Z27" s="99"/>
    </row>
    <row r="28" spans="1:26" ht="27.75" customHeight="1">
      <c r="A28" s="78"/>
      <c r="J28" s="99"/>
      <c r="L28" s="490" t="s">
        <v>147</v>
      </c>
      <c r="M28" s="366">
        <f>M27/Z7</f>
        <v>4.0172151364968212</v>
      </c>
      <c r="Z28" s="99"/>
    </row>
    <row r="29" spans="1:26">
      <c r="A29" s="78"/>
      <c r="J29" s="99"/>
      <c r="Z29" s="99"/>
    </row>
    <row r="30" spans="1:26">
      <c r="A30" s="78"/>
      <c r="J30" s="99"/>
      <c r="L30" s="503" t="s">
        <v>92</v>
      </c>
      <c r="M30" s="504">
        <v>201713.27</v>
      </c>
      <c r="Z30" s="99"/>
    </row>
    <row r="31" spans="1:26" ht="27.75">
      <c r="A31" s="78"/>
      <c r="J31" s="99"/>
      <c r="L31" s="505" t="s">
        <v>93</v>
      </c>
      <c r="M31" s="506">
        <f>I8</f>
        <v>118251.68454072792</v>
      </c>
      <c r="Z31" s="99"/>
    </row>
    <row r="32" spans="1:26">
      <c r="A32" s="78"/>
      <c r="J32" s="99"/>
      <c r="Z32" s="99"/>
    </row>
    <row r="33" spans="1:26">
      <c r="A33" s="78"/>
      <c r="J33" s="99"/>
      <c r="L33" s="686" t="s">
        <v>94</v>
      </c>
      <c r="M33" s="687"/>
      <c r="Z33" s="99"/>
    </row>
    <row r="34" spans="1:26">
      <c r="A34" s="106"/>
      <c r="B34" s="107"/>
      <c r="C34" s="107"/>
      <c r="D34" s="107"/>
      <c r="E34" s="107"/>
      <c r="F34" s="107"/>
      <c r="G34" s="107"/>
      <c r="H34" s="107"/>
      <c r="I34" s="107"/>
      <c r="J34" s="108"/>
      <c r="L34" s="688">
        <v>45547</v>
      </c>
      <c r="M34" s="689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8"/>
    </row>
    <row r="37" spans="1:26">
      <c r="A37" s="182"/>
      <c r="B37" s="182"/>
      <c r="C37" s="184">
        <v>0.3</v>
      </c>
      <c r="D37" s="184">
        <v>0.6</v>
      </c>
      <c r="E37" s="184">
        <v>0.1</v>
      </c>
    </row>
    <row r="38" spans="1:26">
      <c r="A38" s="185" t="s">
        <v>249</v>
      </c>
      <c r="B38" s="182">
        <v>7883509.3899999997</v>
      </c>
      <c r="C38" s="182">
        <f>ROUND(B38*0.3,2)</f>
        <v>2365052.8199999998</v>
      </c>
      <c r="D38" s="182">
        <f>ROUND(B38*0.6,2)</f>
        <v>4730105.63</v>
      </c>
      <c r="E38" s="182">
        <f>ROUND(B38*0.1,2)</f>
        <v>788350.94</v>
      </c>
    </row>
    <row r="39" spans="1:26">
      <c r="A39" s="519" t="s">
        <v>250</v>
      </c>
      <c r="B39" s="336">
        <v>11.638999999999999</v>
      </c>
      <c r="C39" s="182"/>
      <c r="D39" s="182"/>
      <c r="E39" s="182"/>
      <c r="K39" s="1"/>
    </row>
    <row r="40" spans="1:26">
      <c r="A40" s="185" t="s">
        <v>64</v>
      </c>
      <c r="B40" s="182">
        <f>ROUND(B38/B39,2)</f>
        <v>677335.63</v>
      </c>
      <c r="C40" s="182">
        <f>ROUND(B40*0.3,2)</f>
        <v>203200.69</v>
      </c>
      <c r="D40" s="182">
        <f>ROUND(B40*0.6,2)</f>
        <v>406401.38</v>
      </c>
      <c r="E40" s="182">
        <f>ROUND(B40*0.1,2)</f>
        <v>67733.56</v>
      </c>
    </row>
    <row r="42" spans="1:26">
      <c r="B42">
        <v>679584.08</v>
      </c>
      <c r="C42">
        <f>ROUND(B42*0.3,2)</f>
        <v>203875.22</v>
      </c>
      <c r="D42">
        <f>C42</f>
        <v>203875.22</v>
      </c>
      <c r="E42">
        <f>D42</f>
        <v>203875.22</v>
      </c>
      <c r="F42">
        <f>ROUND(B42*0.1,2)+0.01</f>
        <v>67958.42</v>
      </c>
      <c r="I42">
        <f>C42+D42+E42+F42</f>
        <v>679584.08000000007</v>
      </c>
    </row>
    <row r="43" spans="1:26">
      <c r="E43" s="522">
        <v>2.5000000000000001E-2</v>
      </c>
      <c r="F43">
        <f>ROUND(B42*0.025,2)</f>
        <v>16989.599999999999</v>
      </c>
      <c r="I43" t="s">
        <v>251</v>
      </c>
    </row>
    <row r="44" spans="1:26">
      <c r="E44" s="522">
        <v>7.4999999999999997E-2</v>
      </c>
      <c r="F44">
        <f>F42-F43</f>
        <v>50968.82</v>
      </c>
      <c r="I44" t="s">
        <v>252</v>
      </c>
    </row>
    <row r="46" spans="1:26">
      <c r="A46" t="s">
        <v>196</v>
      </c>
      <c r="B46" t="s">
        <v>197</v>
      </c>
      <c r="C46" t="s">
        <v>198</v>
      </c>
      <c r="D46" t="s">
        <v>199</v>
      </c>
      <c r="E46">
        <v>11.54</v>
      </c>
      <c r="L46" t="s">
        <v>253</v>
      </c>
    </row>
    <row r="47" spans="1:26">
      <c r="A47" t="s">
        <v>254</v>
      </c>
      <c r="B47">
        <v>103506</v>
      </c>
      <c r="C47">
        <v>31625</v>
      </c>
      <c r="D47" s="1">
        <f>C47/$E$46</f>
        <v>2740.4679376083191</v>
      </c>
      <c r="E47" s="1"/>
      <c r="L47" t="s">
        <v>255</v>
      </c>
    </row>
    <row r="48" spans="1:26">
      <c r="A48" t="s">
        <v>256</v>
      </c>
      <c r="B48">
        <v>45479</v>
      </c>
      <c r="C48">
        <v>37950</v>
      </c>
      <c r="D48" s="1">
        <f>C48/$E$46</f>
        <v>3288.5615251299828</v>
      </c>
      <c r="L48" t="s">
        <v>257</v>
      </c>
      <c r="M48" s="553"/>
    </row>
    <row r="49" spans="1:13">
      <c r="A49" t="s">
        <v>258</v>
      </c>
      <c r="B49">
        <v>45701</v>
      </c>
      <c r="C49">
        <v>5060</v>
      </c>
      <c r="D49" s="1">
        <f>C49/$E$46</f>
        <v>438.47487001733106</v>
      </c>
      <c r="L49" t="s">
        <v>259</v>
      </c>
    </row>
    <row r="50" spans="1:13">
      <c r="A50" t="s">
        <v>258</v>
      </c>
      <c r="B50">
        <v>45874</v>
      </c>
      <c r="C50">
        <v>22885</v>
      </c>
      <c r="D50" s="1">
        <f>C50/$E$46</f>
        <v>1983.1022530329292</v>
      </c>
      <c r="L50" t="s">
        <v>260</v>
      </c>
    </row>
    <row r="51" spans="1:13">
      <c r="B51">
        <v>46009</v>
      </c>
      <c r="C51">
        <v>12650</v>
      </c>
      <c r="D51" s="1">
        <f t="shared" ref="D51:D53" si="4">C51/$E$46</f>
        <v>1096.1871750433277</v>
      </c>
      <c r="E51" s="1">
        <f>D47+D48+D49+D50+D51</f>
        <v>9546.7937608318898</v>
      </c>
      <c r="L51" t="s">
        <v>261</v>
      </c>
    </row>
    <row r="52" spans="1:13">
      <c r="D52" s="1"/>
      <c r="L52" t="s">
        <v>262</v>
      </c>
    </row>
    <row r="53" spans="1:13">
      <c r="A53" t="s">
        <v>263</v>
      </c>
      <c r="B53">
        <v>6927</v>
      </c>
      <c r="C53">
        <v>20000</v>
      </c>
      <c r="D53" s="1">
        <f t="shared" si="4"/>
        <v>1733.1022530329292</v>
      </c>
      <c r="G53" s="579"/>
      <c r="H53" s="579"/>
      <c r="M53" s="255">
        <f>SUM(M47:M52)</f>
        <v>0</v>
      </c>
    </row>
    <row r="54" spans="1:13">
      <c r="A54" t="s">
        <v>264</v>
      </c>
      <c r="B54">
        <v>34659</v>
      </c>
      <c r="C54">
        <v>158460</v>
      </c>
      <c r="D54" s="1">
        <f t="shared" ref="D54:D82" si="5">C54/$E$46</f>
        <v>13731.369150779898</v>
      </c>
      <c r="G54" s="579"/>
      <c r="H54" s="579"/>
    </row>
    <row r="55" spans="1:13">
      <c r="A55" t="s">
        <v>265</v>
      </c>
      <c r="B55">
        <v>34678</v>
      </c>
      <c r="C55">
        <v>50000</v>
      </c>
      <c r="D55" s="1">
        <f>C55/$E$46</f>
        <v>4332.7556325823225</v>
      </c>
      <c r="G55" s="579"/>
      <c r="H55" s="579"/>
      <c r="M55" s="88"/>
    </row>
    <row r="56" spans="1:13">
      <c r="B56">
        <v>34680</v>
      </c>
      <c r="C56">
        <v>10000</v>
      </c>
      <c r="D56" s="1">
        <f t="shared" ref="D56:D57" si="6">C56/$E$46</f>
        <v>866.55112651646459</v>
      </c>
      <c r="G56" s="579"/>
      <c r="H56" s="579"/>
      <c r="M56" s="88"/>
    </row>
    <row r="57" spans="1:13">
      <c r="A57" t="s">
        <v>266</v>
      </c>
      <c r="B57">
        <v>34683</v>
      </c>
      <c r="C57">
        <v>263000</v>
      </c>
      <c r="D57" s="1">
        <f t="shared" si="6"/>
        <v>22790.294627383017</v>
      </c>
      <c r="G57" s="579"/>
      <c r="H57" s="579"/>
      <c r="M57" s="88"/>
    </row>
    <row r="58" spans="1:13">
      <c r="A58" t="s">
        <v>267</v>
      </c>
      <c r="B58" s="296">
        <v>45420</v>
      </c>
      <c r="C58">
        <v>250000</v>
      </c>
      <c r="D58" s="1">
        <f t="shared" si="5"/>
        <v>21663.778162911614</v>
      </c>
      <c r="G58" s="579"/>
      <c r="H58" s="579"/>
    </row>
    <row r="59" spans="1:13">
      <c r="A59" t="s">
        <v>268</v>
      </c>
      <c r="B59" s="296">
        <v>45328</v>
      </c>
      <c r="C59" s="539">
        <v>8000</v>
      </c>
      <c r="D59" s="1">
        <f t="shared" si="5"/>
        <v>693.24090121317158</v>
      </c>
    </row>
    <row r="60" spans="1:13">
      <c r="A60" t="s">
        <v>268</v>
      </c>
      <c r="B60" s="575" t="s">
        <v>269</v>
      </c>
      <c r="C60" s="539">
        <v>4800</v>
      </c>
      <c r="D60" s="1">
        <f t="shared" si="5"/>
        <v>415.94454072790296</v>
      </c>
    </row>
    <row r="61" spans="1:13">
      <c r="A61" t="s">
        <v>270</v>
      </c>
      <c r="B61" s="296"/>
      <c r="C61" s="539">
        <v>5170</v>
      </c>
      <c r="D61" s="1">
        <f t="shared" si="5"/>
        <v>448.00693240901217</v>
      </c>
    </row>
    <row r="62" spans="1:13">
      <c r="A62" t="s">
        <v>271</v>
      </c>
      <c r="B62">
        <v>92403721</v>
      </c>
      <c r="C62" s="539">
        <v>257550</v>
      </c>
      <c r="D62" s="1">
        <f t="shared" si="5"/>
        <v>22318.024263431544</v>
      </c>
    </row>
    <row r="63" spans="1:13">
      <c r="A63" t="s">
        <v>272</v>
      </c>
      <c r="B63">
        <v>92404436</v>
      </c>
      <c r="C63" s="539">
        <v>171450</v>
      </c>
      <c r="D63" s="1">
        <f t="shared" si="5"/>
        <v>14857.019064124785</v>
      </c>
    </row>
    <row r="64" spans="1:13">
      <c r="A64" t="s">
        <v>273</v>
      </c>
      <c r="B64">
        <v>6297</v>
      </c>
      <c r="C64" s="539">
        <v>20000</v>
      </c>
      <c r="D64" s="1">
        <f t="shared" si="5"/>
        <v>1733.1022530329292</v>
      </c>
    </row>
    <row r="65" spans="1:5">
      <c r="A65" t="s">
        <v>274</v>
      </c>
      <c r="B65">
        <v>23002</v>
      </c>
      <c r="C65">
        <v>50000</v>
      </c>
      <c r="D65" s="1">
        <f t="shared" si="5"/>
        <v>4332.7556325823225</v>
      </c>
    </row>
    <row r="66" spans="1:5">
      <c r="A66" t="s">
        <v>274</v>
      </c>
      <c r="B66">
        <v>23155</v>
      </c>
      <c r="C66">
        <v>4500</v>
      </c>
      <c r="D66" s="1">
        <f t="shared" si="5"/>
        <v>389.94800693240904</v>
      </c>
    </row>
    <row r="67" spans="1:5">
      <c r="A67" s="568" t="s">
        <v>274</v>
      </c>
      <c r="B67" s="569">
        <v>23032</v>
      </c>
      <c r="C67" s="570">
        <v>53200</v>
      </c>
      <c r="D67" s="571">
        <f t="shared" si="5"/>
        <v>4610.051993067591</v>
      </c>
      <c r="E67" s="1">
        <f>D67+D66+D65+D64+D63+D62+D61+D60+D59+D58+D57+D56+D55+D54+D53</f>
        <v>114915.94454072793</v>
      </c>
    </row>
    <row r="68" spans="1:5">
      <c r="A68" t="s">
        <v>275</v>
      </c>
      <c r="B68" s="180" t="s">
        <v>276</v>
      </c>
      <c r="C68">
        <v>26229.32</v>
      </c>
      <c r="D68" s="1">
        <f t="shared" si="5"/>
        <v>2272.9046793760835</v>
      </c>
    </row>
    <row r="69" spans="1:5">
      <c r="B69">
        <v>69726354</v>
      </c>
      <c r="C69">
        <v>1121.26</v>
      </c>
      <c r="D69" s="1">
        <f t="shared" si="5"/>
        <v>97.162911611785105</v>
      </c>
    </row>
    <row r="70" spans="1:5">
      <c r="B70">
        <v>69516680</v>
      </c>
      <c r="C70">
        <v>1754.81</v>
      </c>
      <c r="D70" s="1">
        <f t="shared" si="5"/>
        <v>152.06325823223571</v>
      </c>
    </row>
    <row r="71" spans="1:5">
      <c r="B71">
        <v>69494797</v>
      </c>
      <c r="C71">
        <v>716.32</v>
      </c>
      <c r="D71" s="1">
        <f t="shared" si="5"/>
        <v>62.072790294627389</v>
      </c>
    </row>
    <row r="72" spans="1:5">
      <c r="B72">
        <v>69452902</v>
      </c>
      <c r="C72">
        <v>1324</v>
      </c>
      <c r="D72" s="1">
        <f t="shared" si="5"/>
        <v>114.7313691507799</v>
      </c>
    </row>
    <row r="73" spans="1:5">
      <c r="B73">
        <v>69452910</v>
      </c>
      <c r="C73">
        <v>31830.27</v>
      </c>
      <c r="D73" s="1">
        <f t="shared" si="5"/>
        <v>2758.2556325823225</v>
      </c>
    </row>
    <row r="74" spans="1:5">
      <c r="B74">
        <v>69378826</v>
      </c>
      <c r="C74">
        <v>1374.74</v>
      </c>
      <c r="D74" s="1">
        <f t="shared" si="5"/>
        <v>119.12824956672445</v>
      </c>
    </row>
    <row r="75" spans="1:5">
      <c r="B75">
        <v>69317709</v>
      </c>
      <c r="C75">
        <v>1893.53</v>
      </c>
      <c r="D75" s="1">
        <f t="shared" si="5"/>
        <v>164.08405545927209</v>
      </c>
    </row>
    <row r="76" spans="1:5">
      <c r="B76">
        <v>69282242</v>
      </c>
      <c r="C76">
        <v>20555.29</v>
      </c>
      <c r="D76" s="1">
        <f t="shared" si="5"/>
        <v>1781.220970537262</v>
      </c>
    </row>
    <row r="77" spans="1:5">
      <c r="B77">
        <v>69207942</v>
      </c>
      <c r="C77">
        <v>1118.8399999999999</v>
      </c>
      <c r="D77" s="1">
        <f t="shared" si="5"/>
        <v>96.953206239168111</v>
      </c>
    </row>
    <row r="78" spans="1:5">
      <c r="B78">
        <v>69207959</v>
      </c>
      <c r="C78">
        <v>28776.76</v>
      </c>
      <c r="D78" s="1">
        <f t="shared" si="5"/>
        <v>2493.6533795493933</v>
      </c>
    </row>
    <row r="79" spans="1:5">
      <c r="B79">
        <v>69188175</v>
      </c>
      <c r="C79">
        <v>891.12</v>
      </c>
      <c r="D79" s="1">
        <f t="shared" si="5"/>
        <v>77.220103986135186</v>
      </c>
    </row>
    <row r="80" spans="1:5">
      <c r="B80">
        <v>69169027</v>
      </c>
      <c r="C80">
        <v>52889.82</v>
      </c>
      <c r="D80" s="1">
        <f t="shared" si="5"/>
        <v>4583.1733102253038</v>
      </c>
    </row>
    <row r="81" spans="1:9">
      <c r="B81">
        <v>69118693</v>
      </c>
      <c r="C81">
        <v>438.48</v>
      </c>
      <c r="D81" s="1">
        <f t="shared" si="5"/>
        <v>37.996533795493939</v>
      </c>
    </row>
    <row r="82" spans="1:9">
      <c r="B82">
        <v>69024412</v>
      </c>
      <c r="C82">
        <v>15765.75</v>
      </c>
      <c r="D82" s="1">
        <f t="shared" si="5"/>
        <v>1366.1828422876952</v>
      </c>
    </row>
    <row r="83" spans="1:9">
      <c r="A83" t="s">
        <v>277</v>
      </c>
      <c r="B83">
        <v>146647698</v>
      </c>
      <c r="C83">
        <v>4135</v>
      </c>
      <c r="D83" s="1">
        <f t="shared" ref="D83:D91" si="7">C83/11.54</f>
        <v>358.31889081455807</v>
      </c>
    </row>
    <row r="84" spans="1:9">
      <c r="B84">
        <v>146484993</v>
      </c>
      <c r="C84">
        <v>3090.08</v>
      </c>
      <c r="D84" s="1">
        <f t="shared" si="7"/>
        <v>267.77123050259968</v>
      </c>
    </row>
    <row r="85" spans="1:9">
      <c r="B85">
        <v>146913496</v>
      </c>
      <c r="C85">
        <v>7939.06</v>
      </c>
      <c r="D85" s="1">
        <f t="shared" si="7"/>
        <v>687.9601386481803</v>
      </c>
    </row>
    <row r="86" spans="1:9">
      <c r="B86">
        <v>147421994</v>
      </c>
      <c r="C86">
        <v>3129</v>
      </c>
      <c r="D86" s="1">
        <f t="shared" si="7"/>
        <v>271.14384748700178</v>
      </c>
    </row>
    <row r="87" spans="1:9">
      <c r="B87">
        <v>147277891</v>
      </c>
      <c r="C87">
        <v>2244</v>
      </c>
      <c r="D87" s="1">
        <f t="shared" si="7"/>
        <v>194.45407279029465</v>
      </c>
    </row>
    <row r="88" spans="1:9">
      <c r="A88" t="s">
        <v>278</v>
      </c>
      <c r="B88" t="s">
        <v>279</v>
      </c>
      <c r="C88">
        <v>27300</v>
      </c>
      <c r="D88" s="578">
        <f t="shared" si="7"/>
        <v>2365.6845753899483</v>
      </c>
    </row>
    <row r="89" spans="1:9">
      <c r="B89">
        <v>11591517</v>
      </c>
      <c r="C89">
        <v>1934.56</v>
      </c>
      <c r="D89" s="1">
        <f t="shared" si="7"/>
        <v>167.63951473136916</v>
      </c>
    </row>
    <row r="90" spans="1:9">
      <c r="A90" t="s">
        <v>204</v>
      </c>
      <c r="B90">
        <v>11605740</v>
      </c>
      <c r="C90">
        <v>20264.560000000001</v>
      </c>
      <c r="D90" s="1">
        <f t="shared" si="7"/>
        <v>1756.0277296360487</v>
      </c>
      <c r="F90" s="1"/>
    </row>
    <row r="91" spans="1:9">
      <c r="A91" t="s">
        <v>280</v>
      </c>
      <c r="B91">
        <v>8500032230</v>
      </c>
      <c r="C91">
        <v>1600</v>
      </c>
      <c r="D91" s="578">
        <f t="shared" si="7"/>
        <v>138.64818024263434</v>
      </c>
      <c r="E91" s="1">
        <f>D88+D91+D117+D118</f>
        <v>6351.8197573656853</v>
      </c>
    </row>
    <row r="92" spans="1:9">
      <c r="A92" s="255"/>
      <c r="B92" s="536">
        <v>45413</v>
      </c>
      <c r="C92" s="255"/>
      <c r="D92" s="537">
        <f>SUM(D68:D90)</f>
        <v>22245.803292894281</v>
      </c>
      <c r="E92" s="1">
        <f>D92+D120+D140</f>
        <v>50851.550259965341</v>
      </c>
    </row>
    <row r="93" spans="1:9">
      <c r="D93" s="1"/>
    </row>
    <row r="94" spans="1:9">
      <c r="A94" t="s">
        <v>275</v>
      </c>
      <c r="B94">
        <v>69844058</v>
      </c>
      <c r="C94">
        <v>2427.59</v>
      </c>
      <c r="D94" s="1">
        <f>C94/$E$46</f>
        <v>210.36308492201042</v>
      </c>
      <c r="E94" s="1">
        <f>E92+E91+E67+LULU2!D40+LULU2!D41+LULU2!D43+LULU2!D45</f>
        <v>174802.39801545453</v>
      </c>
      <c r="F94" t="s">
        <v>281</v>
      </c>
    </row>
    <row r="95" spans="1:9">
      <c r="B95">
        <v>69862811</v>
      </c>
      <c r="C95">
        <v>14494.87</v>
      </c>
      <c r="D95" s="1">
        <f t="shared" ref="D95:D116" si="8">C95/$E$46</f>
        <v>1256.0545927209707</v>
      </c>
      <c r="E95" s="1">
        <f>(5693+35000+20000+10000+20000+20000+50000+50000)/1.25</f>
        <v>168554.4</v>
      </c>
      <c r="F95" t="s">
        <v>282</v>
      </c>
      <c r="I95" s="1"/>
    </row>
    <row r="96" spans="1:9">
      <c r="B96">
        <v>69954832</v>
      </c>
      <c r="C96">
        <v>77933.7</v>
      </c>
      <c r="D96" s="1">
        <f t="shared" si="8"/>
        <v>6753.3535528596194</v>
      </c>
      <c r="E96" s="1">
        <f>E95-E94</f>
        <v>-6247.9980154545337</v>
      </c>
    </row>
    <row r="97" spans="1:4">
      <c r="B97">
        <v>69935476</v>
      </c>
      <c r="C97">
        <v>32215.41</v>
      </c>
      <c r="D97" s="1">
        <f t="shared" si="8"/>
        <v>2791.6299826689778</v>
      </c>
    </row>
    <row r="98" spans="1:4">
      <c r="B98">
        <v>10124972</v>
      </c>
      <c r="C98">
        <v>773.79</v>
      </c>
      <c r="D98" s="1">
        <f t="shared" si="8"/>
        <v>67.052859618717505</v>
      </c>
    </row>
    <row r="99" spans="1:4">
      <c r="B99">
        <v>10188738</v>
      </c>
      <c r="C99">
        <v>1637.05</v>
      </c>
      <c r="D99" s="1">
        <f t="shared" si="8"/>
        <v>141.85875216637783</v>
      </c>
    </row>
    <row r="100" spans="1:4">
      <c r="B100">
        <v>10341782</v>
      </c>
      <c r="C100">
        <v>1809.28</v>
      </c>
      <c r="D100" s="1">
        <f t="shared" si="8"/>
        <v>156.78336221837088</v>
      </c>
    </row>
    <row r="101" spans="1:4">
      <c r="B101">
        <v>10496925</v>
      </c>
      <c r="C101">
        <v>52805.85</v>
      </c>
      <c r="D101" s="1">
        <f t="shared" si="8"/>
        <v>4575.8968804159449</v>
      </c>
    </row>
    <row r="102" spans="1:4">
      <c r="A102" t="s">
        <v>283</v>
      </c>
      <c r="B102">
        <v>407356858</v>
      </c>
      <c r="C102">
        <v>20745</v>
      </c>
      <c r="D102" s="1">
        <f t="shared" si="8"/>
        <v>1797.6603119584056</v>
      </c>
    </row>
    <row r="103" spans="1:4">
      <c r="D103" s="1"/>
    </row>
    <row r="104" spans="1:4">
      <c r="A104" t="s">
        <v>106</v>
      </c>
      <c r="B104">
        <v>21102056283</v>
      </c>
      <c r="C104">
        <v>12716.8</v>
      </c>
      <c r="D104" s="1">
        <f t="shared" si="8"/>
        <v>1101.9757365684575</v>
      </c>
    </row>
    <row r="105" spans="1:4">
      <c r="A105" t="s">
        <v>204</v>
      </c>
      <c r="B105" s="197">
        <v>11647878</v>
      </c>
      <c r="C105">
        <v>9101.2800000000007</v>
      </c>
      <c r="D105" s="1">
        <f t="shared" si="8"/>
        <v>788.67244367417686</v>
      </c>
    </row>
    <row r="106" spans="1:4">
      <c r="B106" s="197">
        <v>11617937</v>
      </c>
      <c r="C106">
        <v>8149</v>
      </c>
      <c r="D106" s="1">
        <f t="shared" si="8"/>
        <v>706.15251299826696</v>
      </c>
    </row>
    <row r="107" spans="1:4">
      <c r="B107" s="197">
        <v>11626598</v>
      </c>
      <c r="C107">
        <v>8107</v>
      </c>
      <c r="D107" s="1">
        <f t="shared" si="8"/>
        <v>702.51299826689785</v>
      </c>
    </row>
    <row r="108" spans="1:4">
      <c r="A108" t="s">
        <v>277</v>
      </c>
      <c r="B108">
        <v>147801898</v>
      </c>
      <c r="C108">
        <v>2240</v>
      </c>
      <c r="D108" s="1">
        <f t="shared" si="8"/>
        <v>194.10745233968805</v>
      </c>
    </row>
    <row r="109" spans="1:4">
      <c r="B109">
        <v>147703896</v>
      </c>
      <c r="C109">
        <v>2805</v>
      </c>
      <c r="D109" s="1">
        <f t="shared" si="8"/>
        <v>243.0675909878683</v>
      </c>
    </row>
    <row r="110" spans="1:4">
      <c r="B110">
        <v>147926398</v>
      </c>
      <c r="C110">
        <v>2150.04</v>
      </c>
      <c r="D110" s="1">
        <f t="shared" si="8"/>
        <v>186.31195840554594</v>
      </c>
    </row>
    <row r="111" spans="1:4">
      <c r="B111">
        <v>148268097</v>
      </c>
      <c r="C111">
        <v>9900.0300000000007</v>
      </c>
      <c r="D111" s="1">
        <f t="shared" si="8"/>
        <v>857.88821490467944</v>
      </c>
    </row>
    <row r="112" spans="1:4">
      <c r="B112">
        <v>148454697</v>
      </c>
      <c r="C112">
        <v>1595</v>
      </c>
      <c r="D112" s="1">
        <f t="shared" si="8"/>
        <v>138.2149046793761</v>
      </c>
    </row>
    <row r="113" spans="1:4">
      <c r="B113">
        <v>148582398</v>
      </c>
      <c r="C113">
        <v>6759.05</v>
      </c>
      <c r="D113" s="1">
        <f t="shared" si="8"/>
        <v>585.70623916811098</v>
      </c>
    </row>
    <row r="114" spans="1:4">
      <c r="B114">
        <v>148653991</v>
      </c>
      <c r="C114">
        <v>3487.01</v>
      </c>
      <c r="D114" s="1">
        <f t="shared" si="8"/>
        <v>302.16724436741771</v>
      </c>
    </row>
    <row r="115" spans="1:4">
      <c r="A115" t="s">
        <v>284</v>
      </c>
      <c r="B115">
        <v>11704661</v>
      </c>
      <c r="C115">
        <v>6567.06</v>
      </c>
      <c r="D115" s="1">
        <f t="shared" si="8"/>
        <v>569.06932409012143</v>
      </c>
    </row>
    <row r="116" spans="1:4">
      <c r="B116">
        <v>11706100</v>
      </c>
      <c r="C116">
        <v>541.75</v>
      </c>
      <c r="D116" s="1">
        <f t="shared" si="8"/>
        <v>46.945407279029467</v>
      </c>
    </row>
    <row r="117" spans="1:4">
      <c r="A117" t="s">
        <v>278</v>
      </c>
      <c r="B117">
        <v>2402</v>
      </c>
      <c r="C117">
        <v>27300</v>
      </c>
      <c r="D117" s="578">
        <f>C117/$E$46</f>
        <v>2365.6845753899483</v>
      </c>
    </row>
    <row r="118" spans="1:4">
      <c r="A118" t="s">
        <v>285</v>
      </c>
      <c r="B118">
        <v>8100062849</v>
      </c>
      <c r="C118">
        <v>17100</v>
      </c>
      <c r="D118" s="578">
        <f>C118/$E$46</f>
        <v>1481.8024263431544</v>
      </c>
    </row>
    <row r="119" spans="1:4">
      <c r="D119" s="1"/>
    </row>
    <row r="120" spans="1:4">
      <c r="A120" s="255"/>
      <c r="B120" s="536">
        <v>45467</v>
      </c>
      <c r="C120" s="255"/>
      <c r="D120" s="537">
        <f>SUM(D94:D116)</f>
        <v>24173.445407279029</v>
      </c>
    </row>
    <row r="122" spans="1:4">
      <c r="A122" t="s">
        <v>205</v>
      </c>
      <c r="B122" t="s">
        <v>286</v>
      </c>
      <c r="C122">
        <v>6400</v>
      </c>
      <c r="D122" s="1">
        <f>C122/$E$46</f>
        <v>554.59272097053736</v>
      </c>
    </row>
    <row r="123" spans="1:4">
      <c r="A123" t="s">
        <v>275</v>
      </c>
      <c r="B123">
        <v>10585784</v>
      </c>
      <c r="C123">
        <v>523.83000000000004</v>
      </c>
      <c r="D123" s="1">
        <f t="shared" ref="D123:D139" si="9">C123/$E$46</f>
        <v>45.392547660311962</v>
      </c>
    </row>
    <row r="124" spans="1:4">
      <c r="B124">
        <v>10568293</v>
      </c>
      <c r="C124">
        <v>3650.04</v>
      </c>
      <c r="D124" s="1">
        <f t="shared" si="9"/>
        <v>316.29462738301561</v>
      </c>
    </row>
    <row r="125" spans="1:4">
      <c r="B125">
        <v>10828523</v>
      </c>
      <c r="C125">
        <v>593.57000000000005</v>
      </c>
      <c r="D125" s="1">
        <f t="shared" si="9"/>
        <v>51.43587521663779</v>
      </c>
    </row>
    <row r="126" spans="1:4">
      <c r="D126" s="1">
        <f t="shared" si="9"/>
        <v>0</v>
      </c>
    </row>
    <row r="127" spans="1:4">
      <c r="D127" s="1">
        <f t="shared" si="9"/>
        <v>0</v>
      </c>
    </row>
    <row r="128" spans="1:4">
      <c r="D128" s="1">
        <f t="shared" si="9"/>
        <v>0</v>
      </c>
    </row>
    <row r="129" spans="1:6">
      <c r="D129" s="1">
        <f t="shared" si="9"/>
        <v>0</v>
      </c>
    </row>
    <row r="130" spans="1:6">
      <c r="D130" s="1">
        <f t="shared" si="9"/>
        <v>0</v>
      </c>
    </row>
    <row r="131" spans="1:6">
      <c r="A131" t="s">
        <v>277</v>
      </c>
      <c r="B131">
        <v>149008997</v>
      </c>
      <c r="C131">
        <v>9685.06</v>
      </c>
      <c r="D131" s="1">
        <f t="shared" si="9"/>
        <v>839.25996533795501</v>
      </c>
    </row>
    <row r="132" spans="1:6">
      <c r="B132">
        <v>149161499</v>
      </c>
      <c r="C132">
        <v>6077.04</v>
      </c>
      <c r="D132" s="1">
        <f t="shared" si="9"/>
        <v>526.60658578856157</v>
      </c>
    </row>
    <row r="133" spans="1:6">
      <c r="B133">
        <v>149518698</v>
      </c>
      <c r="C133">
        <v>7414.01</v>
      </c>
      <c r="D133" s="1">
        <f t="shared" si="9"/>
        <v>642.46187175043337</v>
      </c>
    </row>
    <row r="134" spans="1:6">
      <c r="B134">
        <v>147703896</v>
      </c>
      <c r="C134">
        <v>2805</v>
      </c>
      <c r="D134" s="1">
        <f t="shared" si="9"/>
        <v>243.0675909878683</v>
      </c>
    </row>
    <row r="135" spans="1:6">
      <c r="B135">
        <v>10601979</v>
      </c>
      <c r="C135">
        <v>787.61</v>
      </c>
      <c r="D135" s="1">
        <f t="shared" si="9"/>
        <v>68.250433275563267</v>
      </c>
    </row>
    <row r="136" spans="1:6">
      <c r="D136" s="1">
        <f t="shared" si="9"/>
        <v>0</v>
      </c>
    </row>
    <row r="137" spans="1:6">
      <c r="A137" t="s">
        <v>284</v>
      </c>
      <c r="B137">
        <v>11715469</v>
      </c>
      <c r="C137">
        <v>8763.6</v>
      </c>
      <c r="D137" s="1">
        <f t="shared" si="9"/>
        <v>759.4107452339689</v>
      </c>
    </row>
    <row r="138" spans="1:6">
      <c r="B138">
        <v>11714562</v>
      </c>
      <c r="C138">
        <v>741</v>
      </c>
      <c r="D138" s="1">
        <f t="shared" si="9"/>
        <v>64.211438474870022</v>
      </c>
    </row>
    <row r="139" spans="1:6">
      <c r="B139">
        <v>11922068</v>
      </c>
      <c r="C139">
        <v>3708</v>
      </c>
      <c r="D139" s="1">
        <f t="shared" si="9"/>
        <v>321.31715771230506</v>
      </c>
    </row>
    <row r="140" spans="1:6">
      <c r="A140" s="255"/>
      <c r="B140" s="572">
        <v>45497</v>
      </c>
      <c r="C140" s="255"/>
      <c r="D140" s="537">
        <f>SUM(D122:D139)</f>
        <v>4432.3015597920275</v>
      </c>
      <c r="E140" s="1">
        <f>D140+D120+D92</f>
        <v>50851.550259965341</v>
      </c>
      <c r="F140" s="1"/>
    </row>
    <row r="141" spans="1:6">
      <c r="D141" s="1">
        <f>SUM(D53:D139)</f>
        <v>216172.87868284222</v>
      </c>
      <c r="E141" s="1">
        <f>E140+137399.19-84000</f>
        <v>104250.74025996536</v>
      </c>
    </row>
    <row r="142" spans="1:6">
      <c r="D142" s="1">
        <f>D141-D120-D92-D118-D117-D91-D88</f>
        <v>163401.81022530323</v>
      </c>
    </row>
  </sheetData>
  <mergeCells count="16">
    <mergeCell ref="B1:Z1"/>
    <mergeCell ref="A2:J2"/>
    <mergeCell ref="L2:Z2"/>
    <mergeCell ref="C3:D3"/>
    <mergeCell ref="E3:F3"/>
    <mergeCell ref="I3:J3"/>
    <mergeCell ref="L3:M3"/>
    <mergeCell ref="O3:Y3"/>
    <mergeCell ref="G3:H3"/>
    <mergeCell ref="L33:M33"/>
    <mergeCell ref="L34:M34"/>
    <mergeCell ref="Z21:Z22"/>
    <mergeCell ref="Z4:Z5"/>
    <mergeCell ref="O20:Y20"/>
    <mergeCell ref="L11:M11"/>
    <mergeCell ref="L15:M15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greaterThan" id="{214586C3-5DC9-48F4-8AE3-0FC4AB8890FB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ellIs" priority="1" operator="greaterThan" id="{5815F481-52E7-4206-83CF-937474082854}">
            <xm:f>MAT!#REF!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M18</xm:sqref>
        </x14:conditionalFormatting>
        <x14:conditionalFormatting xmlns:xm="http://schemas.microsoft.com/office/excel/2006/main">
          <x14:cfRule type="cellIs" priority="4" operator="greaterThan" id="{BD99B833-2F5D-407B-8020-C9D2BE209808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M20</xm:sqref>
        </x14:conditionalFormatting>
        <x14:conditionalFormatting xmlns:xm="http://schemas.microsoft.com/office/excel/2006/main">
          <x14:cfRule type="cellIs" priority="3" operator="greaterThan" id="{54951B7F-CF7C-4935-A5C9-13BAB500B8F3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M23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95F2-3DB4-4F98-8015-42ECE598D030}">
  <sheetPr>
    <pageSetUpPr fitToPage="1"/>
  </sheetPr>
  <dimension ref="A1:AK44"/>
  <sheetViews>
    <sheetView workbookViewId="0">
      <selection activeCell="Q18" sqref="Q18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14" width="10.7109375" customWidth="1"/>
    <col min="15" max="16" width="10.7109375" hidden="1" customWidth="1" outlineLevel="1"/>
    <col min="17" max="17" width="10.7109375" customWidth="1" collapsed="1"/>
    <col min="18" max="18" width="10.7109375" customWidth="1"/>
    <col min="19" max="19" width="5.42578125" customWidth="1"/>
    <col min="20" max="20" width="23.7109375" customWidth="1"/>
    <col min="21" max="21" width="18.140625" bestFit="1" customWidth="1"/>
    <col min="22" max="22" width="2.85546875" customWidth="1"/>
    <col min="23" max="26" width="10.7109375" customWidth="1"/>
    <col min="27" max="31" width="12.7109375" customWidth="1"/>
    <col min="32" max="32" width="12.7109375" customWidth="1" outlineLevel="1"/>
    <col min="33" max="34" width="13.28515625" customWidth="1" outlineLevel="1"/>
    <col min="35" max="36" width="12.7109375" customWidth="1"/>
  </cols>
  <sheetData>
    <row r="1" spans="1:37" ht="25.5" customHeight="1">
      <c r="A1" s="187" t="s">
        <v>287</v>
      </c>
      <c r="B1" s="634" t="s">
        <v>288</v>
      </c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  <c r="AA1" s="634"/>
      <c r="AB1" s="634"/>
      <c r="AC1" s="634"/>
      <c r="AD1" s="634"/>
      <c r="AE1" s="634"/>
      <c r="AF1" s="634"/>
      <c r="AG1" s="634"/>
      <c r="AH1" s="634"/>
      <c r="AI1" s="634"/>
    </row>
    <row r="2" spans="1:37" ht="18.75">
      <c r="A2" s="655" t="s">
        <v>30</v>
      </c>
      <c r="B2" s="656"/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P2" s="656"/>
      <c r="Q2" s="656"/>
      <c r="R2" s="706"/>
      <c r="S2" s="7"/>
      <c r="T2" s="639"/>
      <c r="U2" s="639"/>
      <c r="V2" s="639"/>
      <c r="W2" s="639"/>
      <c r="X2" s="639"/>
      <c r="Y2" s="639"/>
      <c r="Z2" s="639"/>
      <c r="AA2" s="639"/>
      <c r="AB2" s="639"/>
      <c r="AC2" s="639"/>
      <c r="AD2" s="639"/>
      <c r="AE2" s="639"/>
      <c r="AF2" s="639"/>
      <c r="AG2" s="639"/>
      <c r="AH2" s="639"/>
      <c r="AI2" s="707"/>
    </row>
    <row r="3" spans="1:37" ht="15.75" customHeight="1">
      <c r="A3" s="229"/>
      <c r="C3" s="708" t="s">
        <v>289</v>
      </c>
      <c r="D3" s="709"/>
      <c r="E3" s="708" t="s">
        <v>290</v>
      </c>
      <c r="F3" s="709"/>
      <c r="G3" s="708" t="s">
        <v>291</v>
      </c>
      <c r="H3" s="709"/>
      <c r="I3" s="708" t="s">
        <v>173</v>
      </c>
      <c r="J3" s="709"/>
      <c r="K3" s="708" t="s">
        <v>158</v>
      </c>
      <c r="L3" s="709"/>
      <c r="M3" s="708" t="s">
        <v>129</v>
      </c>
      <c r="N3" s="709"/>
      <c r="O3" s="708" t="s">
        <v>130</v>
      </c>
      <c r="P3" s="709"/>
      <c r="Q3" s="710" t="s">
        <v>36</v>
      </c>
      <c r="R3" s="711"/>
      <c r="T3" s="670" t="s">
        <v>138</v>
      </c>
      <c r="U3" s="671"/>
      <c r="V3" s="110"/>
      <c r="W3" s="644" t="s">
        <v>13</v>
      </c>
      <c r="X3" s="645"/>
      <c r="Y3" s="645"/>
      <c r="Z3" s="645"/>
      <c r="AA3" s="645"/>
      <c r="AB3" s="645"/>
      <c r="AC3" s="645"/>
      <c r="AD3" s="645"/>
      <c r="AE3" s="645"/>
      <c r="AF3" s="645"/>
      <c r="AG3" s="646"/>
      <c r="AH3" s="601"/>
      <c r="AI3" s="324"/>
    </row>
    <row r="4" spans="1:37" ht="16.5" customHeight="1">
      <c r="A4" s="216" t="s">
        <v>40</v>
      </c>
      <c r="B4" s="5" t="s">
        <v>41</v>
      </c>
      <c r="C4" s="261">
        <f>(U4+U5-13202.46-8066.3-4330.85)/4*3</f>
        <v>109865.01750000002</v>
      </c>
      <c r="E4" s="261">
        <f>(U4+U5-13202.46-8066.3-4330.85)/4</f>
        <v>36621.672500000008</v>
      </c>
      <c r="G4" s="261">
        <f>13202.46-1825.8</f>
        <v>11376.66</v>
      </c>
      <c r="I4" s="261">
        <v>1825.8</v>
      </c>
      <c r="K4" s="581">
        <v>8066.3</v>
      </c>
      <c r="M4" s="581">
        <v>4330.8500000000004</v>
      </c>
      <c r="O4" s="581"/>
      <c r="Q4" s="142">
        <f>E4+C4+G4+I4+K4+M4</f>
        <v>172086.30000000002</v>
      </c>
      <c r="R4" s="385"/>
      <c r="T4" s="349" t="s">
        <v>64</v>
      </c>
      <c r="U4" s="502">
        <v>119402.13</v>
      </c>
      <c r="V4" s="110"/>
      <c r="W4" s="158" t="s">
        <v>292</v>
      </c>
      <c r="X4" s="29" t="s">
        <v>240</v>
      </c>
      <c r="Y4" s="28" t="s">
        <v>241</v>
      </c>
      <c r="Z4" s="154" t="s">
        <v>293</v>
      </c>
      <c r="AA4" s="29" t="s">
        <v>243</v>
      </c>
      <c r="AB4" s="29" t="s">
        <v>244</v>
      </c>
      <c r="AC4" s="29" t="s">
        <v>245</v>
      </c>
      <c r="AD4" s="29" t="s">
        <v>246</v>
      </c>
      <c r="AE4" s="29" t="s">
        <v>193</v>
      </c>
      <c r="AF4" s="29" t="s">
        <v>294</v>
      </c>
      <c r="AG4" s="29" t="s">
        <v>295</v>
      </c>
      <c r="AH4" s="599" t="s">
        <v>296</v>
      </c>
      <c r="AI4" s="700" t="s">
        <v>49</v>
      </c>
    </row>
    <row r="5" spans="1:37">
      <c r="A5" s="216" t="s">
        <v>51</v>
      </c>
      <c r="B5" s="5" t="s">
        <v>52</v>
      </c>
      <c r="C5" s="161">
        <f>C6+C7+C8+C9+C10+C11+C13+C14+C17+C15+C12</f>
        <v>33204.92905028</v>
      </c>
      <c r="D5" s="5"/>
      <c r="E5" s="161">
        <f>E6+E7+E8+E9+E10+E11+E13+E14+E17+E15+E12</f>
        <v>36213.248331772003</v>
      </c>
      <c r="F5" s="5"/>
      <c r="G5" s="161">
        <f>G6+G7+G8+G9+G10+G11+G13+G14+G17+G15+G12</f>
        <v>13896.514453039999</v>
      </c>
      <c r="H5" s="5"/>
      <c r="I5" s="161">
        <f>I6+I7+I8+I9+I10+I11+I13+I14+I17+I15+I12</f>
        <v>50774.488050432396</v>
      </c>
      <c r="J5" s="5"/>
      <c r="K5" s="161">
        <f>K6+K7+K8+K9+K10+K11+K13+K14+K17+K15+K12</f>
        <v>6787.7573367999994</v>
      </c>
      <c r="L5" s="5"/>
      <c r="M5" s="161">
        <f>M6+M7+M8+M9+M10+M11+M13+M14+M17+M15+M12</f>
        <v>5174.8370843632001</v>
      </c>
      <c r="N5" s="5"/>
      <c r="O5" s="161">
        <f>O6+O7+O8+O9+O10+O11+O13+O14+O17+O15+O12</f>
        <v>0</v>
      </c>
      <c r="P5" s="5"/>
      <c r="Q5" s="143">
        <f>Q6+Q7+Q8+Q9+Q10+Q11+Q13+Q14+Q17+Q15+Q12</f>
        <v>146051.77430668758</v>
      </c>
      <c r="R5" s="386"/>
      <c r="T5" s="399" t="s">
        <v>67</v>
      </c>
      <c r="U5" s="400">
        <f>9600+2950+5502+13204.46+7204.76+1825.8+8066.3+4330.85</f>
        <v>52684.170000000006</v>
      </c>
      <c r="W5" s="74">
        <v>1</v>
      </c>
      <c r="X5" s="74">
        <v>2</v>
      </c>
      <c r="Y5" s="74">
        <v>3</v>
      </c>
      <c r="Z5" s="74">
        <v>4</v>
      </c>
      <c r="AA5" s="74">
        <v>5</v>
      </c>
      <c r="AB5" s="74">
        <v>6</v>
      </c>
      <c r="AC5" s="33">
        <v>7</v>
      </c>
      <c r="AD5" s="33">
        <v>8</v>
      </c>
      <c r="AE5" s="33">
        <v>9</v>
      </c>
      <c r="AF5" s="33">
        <v>10</v>
      </c>
      <c r="AG5" s="33">
        <v>11</v>
      </c>
      <c r="AH5" s="600"/>
      <c r="AI5" s="701"/>
    </row>
    <row r="6" spans="1:37">
      <c r="A6" s="217" t="s">
        <v>54</v>
      </c>
      <c r="B6" s="75" t="s">
        <v>55</v>
      </c>
      <c r="C6" s="127">
        <f>298+414.87+2173.71+1318+38.95+186.89+589.97+68.75-69.95+165.6+92+1100.51+150.69+99.29+114.45+179+46.75+87.7+15.1+42+101.6+477.95+662-107.1+413.21+69.99+369.64+509.58+50.6+7.49+173.98+201.94+187.19</f>
        <v>10230.35</v>
      </c>
      <c r="D6" s="83">
        <f>C6+C7+C8</f>
        <v>11420.35</v>
      </c>
      <c r="E6" s="127">
        <f>72.79+37.29+69.99+129.3-95.15+14.97+118.9+8.25+6.99+188.18+459.23+912.05+148.76+22.7+304.92+260.8+57.9+1206.69+435.35+336.39+141.88+167.9+218.92</f>
        <v>5225.0000000000009</v>
      </c>
      <c r="F6" s="13">
        <f>E6+E7+E8</f>
        <v>17539.57</v>
      </c>
      <c r="G6" s="552">
        <f>26.05-87.61+131.98+164.6+137.55+30.98+84.92</f>
        <v>488.47</v>
      </c>
      <c r="H6" s="83">
        <f>G6+G7+G8</f>
        <v>4778.74</v>
      </c>
      <c r="I6" s="17">
        <f>169.13+10.85+31.05+18.7+10.35+354.3+23.45+51.75+35.5+186+10.8+49.99+15+64.64+87.89+51.1+35.95+92.2+23.28+171.3+17.95-125.8-377.4</f>
        <v>1007.9800000000001</v>
      </c>
      <c r="J6" s="83">
        <f>I6+I7+I8</f>
        <v>41283.370000000003</v>
      </c>
      <c r="K6" s="126">
        <v>254.8</v>
      </c>
      <c r="L6" s="131">
        <f>K6+K7+K8</f>
        <v>5138.3600000000006</v>
      </c>
      <c r="M6" s="126">
        <f>279.51+57.34</f>
        <v>336.85</v>
      </c>
      <c r="N6" s="131">
        <f>M6+M7+M8</f>
        <v>3520.89</v>
      </c>
      <c r="O6" s="126"/>
      <c r="P6" s="131">
        <f>O6+O7+O8</f>
        <v>0</v>
      </c>
      <c r="Q6" s="169">
        <f>C6+E6+G6+I6+K6+M6</f>
        <v>17543.45</v>
      </c>
      <c r="R6" s="387">
        <f>Q6+Q7+Q8</f>
        <v>83681.279999999999</v>
      </c>
      <c r="T6" s="351" t="s">
        <v>71</v>
      </c>
      <c r="U6" s="352">
        <f>115.5+19.7+3.1</f>
        <v>138.29999999999998</v>
      </c>
      <c r="W6" s="40">
        <f>AI6/4</f>
        <v>226.14750000000001</v>
      </c>
      <c r="X6" s="40">
        <f>W6</f>
        <v>226.14750000000001</v>
      </c>
      <c r="Y6" s="40">
        <f>W6</f>
        <v>226.14750000000001</v>
      </c>
      <c r="Z6" s="40">
        <f>W6</f>
        <v>226.14750000000001</v>
      </c>
      <c r="AA6" s="40"/>
      <c r="AB6" s="40"/>
      <c r="AC6" s="41"/>
      <c r="AD6" s="41"/>
      <c r="AE6" s="41"/>
      <c r="AF6" s="41"/>
      <c r="AG6" s="41"/>
      <c r="AH6" s="40"/>
      <c r="AI6" s="218">
        <v>904.59</v>
      </c>
    </row>
    <row r="7" spans="1:37">
      <c r="A7" s="219" t="s">
        <v>56</v>
      </c>
      <c r="B7" s="86" t="s">
        <v>57</v>
      </c>
      <c r="C7" s="126">
        <v>390</v>
      </c>
      <c r="D7" s="83"/>
      <c r="E7" s="126">
        <f>75.97+590</f>
        <v>665.97</v>
      </c>
      <c r="F7" s="13"/>
      <c r="G7" s="126"/>
      <c r="H7" s="83"/>
      <c r="I7" s="126"/>
      <c r="J7" s="83"/>
      <c r="K7" s="126"/>
      <c r="L7" s="83"/>
      <c r="M7" s="126"/>
      <c r="N7" s="83"/>
      <c r="O7" s="126"/>
      <c r="P7" s="83"/>
      <c r="Q7" s="169">
        <f t="shared" ref="Q7:Q17" si="0">C7+E7+G7+I7+K7+M7</f>
        <v>1055.97</v>
      </c>
      <c r="R7" s="387"/>
      <c r="T7" s="353" t="s">
        <v>74</v>
      </c>
      <c r="U7" s="354" t="s">
        <v>75</v>
      </c>
      <c r="W7" s="49"/>
      <c r="X7" s="50">
        <f>46.58+45+46.08</f>
        <v>137.66</v>
      </c>
      <c r="Y7" s="50">
        <f>46.17+44.35+46+27.85</f>
        <v>164.37</v>
      </c>
      <c r="Z7" s="50">
        <v>149.03</v>
      </c>
      <c r="AA7" s="50">
        <v>30.73</v>
      </c>
      <c r="AB7" s="50">
        <v>8.8699999999999992</v>
      </c>
      <c r="AC7" s="51">
        <v>108.45</v>
      </c>
      <c r="AD7" s="51">
        <v>166.7</v>
      </c>
      <c r="AE7" s="51">
        <v>28.52</v>
      </c>
      <c r="AF7" s="51">
        <v>233.3</v>
      </c>
      <c r="AG7" s="51">
        <v>7.5</v>
      </c>
      <c r="AH7" s="50">
        <f>18.44+22.63</f>
        <v>41.07</v>
      </c>
      <c r="AI7" s="469">
        <f>W7+X7+Y7+Z7+AA7+AB7+AG7+AC7+AD7+AE7+AF7+AH7</f>
        <v>1076.1999999999998</v>
      </c>
      <c r="AJ7" s="1"/>
      <c r="AK7" s="1"/>
    </row>
    <row r="8" spans="1:37">
      <c r="A8" s="220" t="s">
        <v>58</v>
      </c>
      <c r="B8" s="76" t="s">
        <v>59</v>
      </c>
      <c r="C8" s="144">
        <f>800</f>
        <v>800</v>
      </c>
      <c r="D8" s="88"/>
      <c r="E8" s="18">
        <f>3272+140.4+4000+861.9+734.3+2640</f>
        <v>11648.599999999999</v>
      </c>
      <c r="F8" s="14"/>
      <c r="G8" s="18">
        <f>2150+403.37+692.7+1044.2</f>
        <v>4290.2699999999995</v>
      </c>
      <c r="H8" s="88"/>
      <c r="I8" s="18">
        <f>22646.88+68.45+735.73+355.4+292+1650+12084.47+262.06+1650+530.4</f>
        <v>40275.39</v>
      </c>
      <c r="J8" s="88"/>
      <c r="K8" s="144">
        <f>600+1080+1350+850+442.8+560.76</f>
        <v>4883.5600000000004</v>
      </c>
      <c r="L8" s="88"/>
      <c r="M8" s="144">
        <f>254.8+2929.24</f>
        <v>3184.04</v>
      </c>
      <c r="N8" s="88"/>
      <c r="O8" s="144"/>
      <c r="P8" s="88"/>
      <c r="Q8" s="171">
        <f t="shared" si="0"/>
        <v>65081.859999999993</v>
      </c>
      <c r="R8" s="388"/>
      <c r="T8" s="355" t="s">
        <v>78</v>
      </c>
      <c r="U8" s="465">
        <v>13</v>
      </c>
      <c r="AI8" s="221"/>
    </row>
    <row r="9" spans="1:37">
      <c r="A9" s="217" t="s">
        <v>60</v>
      </c>
      <c r="B9" s="75" t="s">
        <v>61</v>
      </c>
      <c r="C9" s="19">
        <v>4090.24</v>
      </c>
      <c r="D9" s="128">
        <f>C9+C10+C11+C13+C12</f>
        <v>15350.089050280003</v>
      </c>
      <c r="E9" s="257">
        <f>(4756.68-2800)*1.42+(689.21+573.45)*1.42+47.21*1.42</f>
        <v>4638.5010000000002</v>
      </c>
      <c r="F9" s="128">
        <f>E9+E10+E11+E13+E12</f>
        <v>13004.858331772</v>
      </c>
      <c r="G9" s="574">
        <f>(3174+300+847-G13)*1.42</f>
        <v>3295.8199999999997</v>
      </c>
      <c r="H9" s="128">
        <f>G9+G10+G11+G13+G12</f>
        <v>7195.5344530399998</v>
      </c>
      <c r="I9" s="257">
        <f>((116.28*15+28.45*7.5+117.02*14.5+28.52*7.25+750)-I13)*1.42</f>
        <v>3778.8117000000002</v>
      </c>
      <c r="J9" s="128">
        <f>I9+I10+I11+I13+I12</f>
        <v>7121.6580504324002</v>
      </c>
      <c r="K9" s="257">
        <f>(7.5*16+100-K13)*1.42</f>
        <v>99.399999999999991</v>
      </c>
      <c r="L9" s="128">
        <f>K9+K10+K11+K13+K12</f>
        <v>847.31733680000002</v>
      </c>
      <c r="M9" s="257">
        <f>(18.44*14.5+2*7.25+22.62*15+2*7.5-M13)*1.42</f>
        <v>477.37560000000008</v>
      </c>
      <c r="N9" s="128">
        <f>M9+M10+M11+M13+M12</f>
        <v>1240.3470843632001</v>
      </c>
      <c r="O9" s="257"/>
      <c r="P9" s="128">
        <f>O9+O10+O11+O13+O12</f>
        <v>0</v>
      </c>
      <c r="Q9" s="169">
        <f t="shared" si="0"/>
        <v>16380.148299999999</v>
      </c>
      <c r="R9" s="389">
        <f>Q9+Q10+Q11+Q13+Q12</f>
        <v>44759.804306687598</v>
      </c>
      <c r="T9" s="357" t="s">
        <v>81</v>
      </c>
      <c r="U9" s="358">
        <v>12</v>
      </c>
      <c r="AI9" s="221"/>
    </row>
    <row r="10" spans="1:37">
      <c r="A10" s="219" t="s">
        <v>62</v>
      </c>
      <c r="B10" s="86" t="s">
        <v>63</v>
      </c>
      <c r="C10" s="126">
        <f>C9*0.2359</f>
        <v>964.88761599999998</v>
      </c>
      <c r="D10" s="83"/>
      <c r="E10" s="126">
        <f>E9*0.2359</f>
        <v>1094.2223859000001</v>
      </c>
      <c r="F10" s="83"/>
      <c r="G10" s="126">
        <f>G9*0.2359</f>
        <v>777.48393799999997</v>
      </c>
      <c r="H10" s="83"/>
      <c r="I10" s="259">
        <f>I9*0.2359</f>
        <v>891.42168003000006</v>
      </c>
      <c r="J10" s="83"/>
      <c r="K10" s="552">
        <f>K9*0.2359</f>
        <v>23.448459999999997</v>
      </c>
      <c r="L10" s="83"/>
      <c r="M10" s="259">
        <f>M9*0.2359</f>
        <v>112.61290404000002</v>
      </c>
      <c r="N10" s="83"/>
      <c r="O10" s="552">
        <f>O9*0.2359</f>
        <v>0</v>
      </c>
      <c r="P10" s="83"/>
      <c r="Q10" s="169">
        <f t="shared" si="0"/>
        <v>3864.0769839700001</v>
      </c>
      <c r="R10" s="388"/>
      <c r="AI10" s="221"/>
    </row>
    <row r="11" spans="1:37">
      <c r="A11" s="219" t="s">
        <v>65</v>
      </c>
      <c r="B11" s="86" t="s">
        <v>66</v>
      </c>
      <c r="C11" s="126">
        <f>(C9+C10)*0.08</f>
        <v>404.41020928</v>
      </c>
      <c r="D11" s="83"/>
      <c r="E11" s="126">
        <f>(E9+E10)*0.08</f>
        <v>458.61787087200008</v>
      </c>
      <c r="F11" s="83"/>
      <c r="G11" s="126">
        <f>(G9+G10)*0.08</f>
        <v>325.86431503999995</v>
      </c>
      <c r="H11" s="83"/>
      <c r="I11" s="259">
        <f>(I9+I10)*0.08</f>
        <v>373.61867040240003</v>
      </c>
      <c r="J11" s="83"/>
      <c r="K11" s="552">
        <f>(K9+K10)*0.08</f>
        <v>9.8278767999999985</v>
      </c>
      <c r="L11" s="83"/>
      <c r="M11" s="259">
        <f>(M9+M10)*0.08</f>
        <v>47.199080323200008</v>
      </c>
      <c r="N11" s="83"/>
      <c r="O11" s="552">
        <f>(O9+O10)*0.08</f>
        <v>0</v>
      </c>
      <c r="P11" s="83"/>
      <c r="Q11" s="169">
        <f t="shared" si="0"/>
        <v>1619.5380227176001</v>
      </c>
      <c r="R11" s="388"/>
      <c r="T11" s="674" t="s">
        <v>85</v>
      </c>
      <c r="U11" s="675"/>
      <c r="AI11" s="221"/>
    </row>
    <row r="12" spans="1:37">
      <c r="A12" s="222" t="s">
        <v>68</v>
      </c>
      <c r="B12" s="92" t="s">
        <v>21</v>
      </c>
      <c r="C12" s="127">
        <f>(C4)*0.07</f>
        <v>7690.551225000002</v>
      </c>
      <c r="D12" s="123"/>
      <c r="E12" s="127">
        <f>(E4)*0.07</f>
        <v>2563.5170750000007</v>
      </c>
      <c r="F12" s="127"/>
      <c r="G12" s="127">
        <f t="shared" ref="F12:G12" si="1">(G4)*0.07</f>
        <v>796.36620000000005</v>
      </c>
      <c r="H12" s="123"/>
      <c r="I12" s="259">
        <f t="shared" ref="I12:J12" si="2">(I4)*0.07</f>
        <v>127.80600000000001</v>
      </c>
      <c r="J12" s="123"/>
      <c r="K12" s="259">
        <f t="shared" ref="K12:L12" si="3">(K4)*0.07</f>
        <v>564.64100000000008</v>
      </c>
      <c r="L12" s="123"/>
      <c r="M12" s="259">
        <f t="shared" ref="M12:N12" si="4">(M4)*0.07</f>
        <v>303.15950000000004</v>
      </c>
      <c r="N12" s="123"/>
      <c r="O12" s="259">
        <f t="shared" ref="O12:P12" si="5">(O4)*0.07</f>
        <v>0</v>
      </c>
      <c r="P12" s="123"/>
      <c r="Q12" s="169">
        <f t="shared" si="0"/>
        <v>12046.041000000003</v>
      </c>
      <c r="R12" s="388"/>
      <c r="T12" s="359" t="s">
        <v>50</v>
      </c>
      <c r="U12" s="360">
        <v>24441.7</v>
      </c>
      <c r="AI12" s="221"/>
    </row>
    <row r="13" spans="1:37">
      <c r="A13" s="219" t="s">
        <v>69</v>
      </c>
      <c r="B13" s="86" t="s">
        <v>70</v>
      </c>
      <c r="C13" s="130">
        <v>2200</v>
      </c>
      <c r="D13" s="125"/>
      <c r="E13" s="260">
        <f>4*6*50+2*18*50+5*50+20*50</f>
        <v>4250</v>
      </c>
      <c r="F13" s="125"/>
      <c r="G13" s="130">
        <f>4*10*50</f>
        <v>2000</v>
      </c>
      <c r="H13" s="125"/>
      <c r="I13" s="260">
        <f>3*13*50</f>
        <v>1950</v>
      </c>
      <c r="J13" s="125"/>
      <c r="K13" s="260">
        <v>150</v>
      </c>
      <c r="L13" s="125"/>
      <c r="M13" s="260">
        <f>3*2*50</f>
        <v>300</v>
      </c>
      <c r="N13" s="125"/>
      <c r="O13" s="260"/>
      <c r="P13" s="125"/>
      <c r="Q13" s="171">
        <f t="shared" si="0"/>
        <v>10850</v>
      </c>
      <c r="R13" s="390"/>
      <c r="T13" s="361" t="s">
        <v>53</v>
      </c>
      <c r="U13" s="362">
        <f>R6-Q8</f>
        <v>18599.420000000006</v>
      </c>
      <c r="AI13" s="221"/>
    </row>
    <row r="14" spans="1:37">
      <c r="A14" s="223" t="s">
        <v>72</v>
      </c>
      <c r="B14" s="75" t="s">
        <v>73</v>
      </c>
      <c r="C14" s="126">
        <f>3014.02+414.33</f>
        <v>3428.35</v>
      </c>
      <c r="D14" s="131">
        <f>C14+C17+C15+C16</f>
        <v>6434.49</v>
      </c>
      <c r="E14" s="126">
        <v>2480.9499999999998</v>
      </c>
      <c r="F14" s="145">
        <f>E14+E17+E15+E16</f>
        <v>5668.82</v>
      </c>
      <c r="G14" s="552">
        <v>1214.1400000000001</v>
      </c>
      <c r="H14" s="145">
        <f>G14+G17+G15+G16</f>
        <v>1922.2400000000002</v>
      </c>
      <c r="I14" s="17">
        <f>1098.24+134.43+435+28.73</f>
        <v>1696.4</v>
      </c>
      <c r="J14" s="145">
        <f>I14+I17+I15+I16</f>
        <v>3643.33</v>
      </c>
      <c r="K14" s="259">
        <v>208</v>
      </c>
      <c r="L14" s="145">
        <f>K14+K17+K15+K16</f>
        <v>1186.5700000000002</v>
      </c>
      <c r="M14" s="259">
        <v>346</v>
      </c>
      <c r="N14" s="145">
        <f>M14+M17+M15+M16</f>
        <v>1111.55</v>
      </c>
      <c r="O14" s="259"/>
      <c r="P14" s="145">
        <f>O14+O17+O15+O16</f>
        <v>0</v>
      </c>
      <c r="Q14" s="169">
        <f t="shared" si="0"/>
        <v>9373.84</v>
      </c>
      <c r="R14" s="388">
        <f>Q14+Q17+Q15+Q16</f>
        <v>19967</v>
      </c>
      <c r="AI14" s="221"/>
    </row>
    <row r="15" spans="1:37">
      <c r="A15" s="224" t="s">
        <v>76</v>
      </c>
      <c r="B15" s="86" t="s">
        <v>77</v>
      </c>
      <c r="C15" s="126">
        <f>715.96+322.99+200+153.98</f>
        <v>1392.93</v>
      </c>
      <c r="D15" s="83"/>
      <c r="E15" s="126">
        <f>636.93+59.89+113.67+481.08+116.74+73.07</f>
        <v>1481.3799999999999</v>
      </c>
      <c r="F15" s="13"/>
      <c r="G15" s="259"/>
      <c r="H15" s="13"/>
      <c r="I15" s="259"/>
      <c r="J15" s="13"/>
      <c r="K15" s="259">
        <v>278.99</v>
      </c>
      <c r="L15" s="13"/>
      <c r="M15" s="259"/>
      <c r="N15" s="13"/>
      <c r="O15" s="259"/>
      <c r="P15" s="13"/>
      <c r="Q15" s="169">
        <f t="shared" si="0"/>
        <v>3153.3</v>
      </c>
      <c r="R15" s="388"/>
      <c r="T15" s="651" t="s">
        <v>89</v>
      </c>
      <c r="U15" s="652"/>
      <c r="AI15" s="221"/>
    </row>
    <row r="16" spans="1:37">
      <c r="A16" s="224" t="s">
        <v>139</v>
      </c>
      <c r="B16" s="86" t="s">
        <v>140</v>
      </c>
      <c r="C16" s="126"/>
      <c r="D16" s="13"/>
      <c r="E16" s="252"/>
      <c r="F16" s="13"/>
      <c r="G16" s="9">
        <f t="shared" ref="G16" si="6">C16+E16</f>
        <v>0</v>
      </c>
      <c r="H16" s="13"/>
      <c r="I16" s="9">
        <f>240.3+288.98+42+17.68+49.35+384.69+131.8+119.07</f>
        <v>1273.8699999999999</v>
      </c>
      <c r="J16" s="13"/>
      <c r="K16" s="9">
        <f>223.3+161.19</f>
        <v>384.49</v>
      </c>
      <c r="L16" s="13"/>
      <c r="M16" s="9">
        <f>84.37+20+301.61+200.32+91.65</f>
        <v>697.94999999999993</v>
      </c>
      <c r="N16" s="13"/>
      <c r="O16" s="9"/>
      <c r="P16" s="13"/>
      <c r="Q16" s="169">
        <f t="shared" si="0"/>
        <v>2356.31</v>
      </c>
      <c r="R16" s="388"/>
      <c r="T16" s="508"/>
      <c r="U16" s="509"/>
      <c r="AI16" s="221"/>
    </row>
    <row r="17" spans="1:35">
      <c r="A17" s="219" t="s">
        <v>79</v>
      </c>
      <c r="B17" s="86" t="s">
        <v>80</v>
      </c>
      <c r="C17" s="17">
        <f>125+356.21+112.93+14.1+90.9+394.9-164.98+40+5.99+177.9+3.64+456.62</f>
        <v>1613.21</v>
      </c>
      <c r="D17" s="83"/>
      <c r="E17" s="126">
        <f>5+241.2+398.91+78+1.65+318.53+663.2</f>
        <v>1706.49</v>
      </c>
      <c r="F17" s="13"/>
      <c r="G17" s="126">
        <f>9.87+16.73+12+258.15+68.75+69.1+273.5</f>
        <v>708.1</v>
      </c>
      <c r="H17" s="13"/>
      <c r="I17" s="17">
        <f>10+23.1+33.16+42+35.8+23+31+460.48+14.52</f>
        <v>673.06</v>
      </c>
      <c r="J17" s="13"/>
      <c r="K17" s="17">
        <f>37.5+18+24+12+31.5+192.09</f>
        <v>315.09000000000003</v>
      </c>
      <c r="L17" s="13"/>
      <c r="M17" s="17">
        <f>26.6+29+12</f>
        <v>67.599999999999994</v>
      </c>
      <c r="N17" s="13"/>
      <c r="O17" s="17"/>
      <c r="P17" s="13"/>
      <c r="Q17" s="169">
        <f t="shared" si="0"/>
        <v>5083.55</v>
      </c>
      <c r="R17" s="388"/>
      <c r="T17" s="359" t="s">
        <v>50</v>
      </c>
      <c r="U17" s="360">
        <f>23617.58</f>
        <v>23617.58</v>
      </c>
      <c r="AI17" s="221"/>
    </row>
    <row r="18" spans="1:35">
      <c r="A18" s="216" t="s">
        <v>82</v>
      </c>
      <c r="B18" s="5" t="s">
        <v>83</v>
      </c>
      <c r="C18" s="157">
        <f>C4-C5</f>
        <v>76660.088449720017</v>
      </c>
      <c r="D18" s="121">
        <f>C18/C4</f>
        <v>0.69776613333466231</v>
      </c>
      <c r="E18" s="166">
        <f>E4-E5</f>
        <v>408.42416822800442</v>
      </c>
      <c r="F18" s="122">
        <f>E18/E4</f>
        <v>1.1152526368859978E-2</v>
      </c>
      <c r="G18" s="157">
        <f>G4-G5</f>
        <v>-2519.8544530399995</v>
      </c>
      <c r="H18" s="122">
        <f>G18/G4</f>
        <v>-0.22149334277722982</v>
      </c>
      <c r="I18" s="157">
        <f>I4-I5</f>
        <v>-48948.688050432393</v>
      </c>
      <c r="J18" s="122">
        <f>I18/I4</f>
        <v>-26.809446845455358</v>
      </c>
      <c r="K18" s="157">
        <f>K4-K5</f>
        <v>1278.5426632000008</v>
      </c>
      <c r="L18" s="122">
        <f>K18/K4</f>
        <v>0.15850422910132289</v>
      </c>
      <c r="M18" s="157">
        <f>M4-M5</f>
        <v>-843.98708436319976</v>
      </c>
      <c r="N18" s="122">
        <f>M18/M4</f>
        <v>-0.19487793028232325</v>
      </c>
      <c r="O18" s="157">
        <f>O4-O5</f>
        <v>0</v>
      </c>
      <c r="P18" s="122" t="e">
        <f>O18/O4</f>
        <v>#DIV/0!</v>
      </c>
      <c r="Q18" s="15">
        <f>Q4-Q5</f>
        <v>26034.525693312433</v>
      </c>
      <c r="R18" s="513">
        <f>Q18/Q4</f>
        <v>0.15128761379210565</v>
      </c>
      <c r="T18" s="363" t="s">
        <v>53</v>
      </c>
      <c r="U18" s="364">
        <f>R9-Q12</f>
        <v>32713.763306687593</v>
      </c>
      <c r="AI18" s="221"/>
    </row>
    <row r="19" spans="1:35">
      <c r="A19" s="225" t="s">
        <v>142</v>
      </c>
      <c r="B19" s="98" t="s">
        <v>143</v>
      </c>
      <c r="C19" s="499"/>
      <c r="D19" s="500"/>
      <c r="E19" s="499"/>
      <c r="F19" s="510"/>
      <c r="G19" s="499"/>
      <c r="H19" s="510"/>
      <c r="I19" s="499"/>
      <c r="J19" s="510"/>
      <c r="K19" s="499"/>
      <c r="L19" s="510"/>
      <c r="M19" s="499"/>
      <c r="N19" s="510"/>
      <c r="O19" s="499"/>
      <c r="P19" s="510"/>
      <c r="Q19" s="501">
        <f>U4-92234.3</f>
        <v>27167.83</v>
      </c>
      <c r="R19" s="514">
        <f>Q19/U4</f>
        <v>0.22753220566500781</v>
      </c>
      <c r="T19" s="377" t="s">
        <v>141</v>
      </c>
      <c r="U19" s="409">
        <f>U18/AI7</f>
        <v>30.397475661296784</v>
      </c>
      <c r="AI19" s="221"/>
    </row>
    <row r="20" spans="1:35">
      <c r="A20" s="225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R20" s="221"/>
      <c r="W20" s="644" t="s">
        <v>90</v>
      </c>
      <c r="X20" s="645"/>
      <c r="Y20" s="645"/>
      <c r="Z20" s="645"/>
      <c r="AA20" s="645"/>
      <c r="AB20" s="645"/>
      <c r="AC20" s="645"/>
      <c r="AD20" s="645"/>
      <c r="AE20" s="645"/>
      <c r="AF20" s="645"/>
      <c r="AG20" s="646"/>
      <c r="AH20" s="475"/>
      <c r="AI20" s="324"/>
    </row>
    <row r="21" spans="1:35" ht="24" customHeight="1">
      <c r="A21" s="395" t="s">
        <v>86</v>
      </c>
      <c r="B21" s="412" t="s">
        <v>144</v>
      </c>
      <c r="C21" s="445" t="s">
        <v>145</v>
      </c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R21" s="221"/>
      <c r="T21" s="373" t="s">
        <v>100</v>
      </c>
      <c r="U21" s="374"/>
      <c r="W21" s="158" t="s">
        <v>292</v>
      </c>
      <c r="X21" s="29" t="s">
        <v>240</v>
      </c>
      <c r="Y21" s="28" t="s">
        <v>241</v>
      </c>
      <c r="Z21" s="154" t="s">
        <v>293</v>
      </c>
      <c r="AA21" s="29" t="s">
        <v>243</v>
      </c>
      <c r="AB21" s="29" t="s">
        <v>244</v>
      </c>
      <c r="AC21" s="29" t="s">
        <v>245</v>
      </c>
      <c r="AD21" s="29" t="s">
        <v>246</v>
      </c>
      <c r="AE21" s="28" t="s">
        <v>193</v>
      </c>
      <c r="AF21" s="28" t="s">
        <v>294</v>
      </c>
      <c r="AG21" s="28" t="s">
        <v>295</v>
      </c>
      <c r="AH21" s="595"/>
      <c r="AI21" s="684" t="s">
        <v>49</v>
      </c>
    </row>
    <row r="22" spans="1:35">
      <c r="A22" s="226" t="s">
        <v>88</v>
      </c>
      <c r="B22" s="449">
        <f>(R6-Q8)/Q5</f>
        <v>0.12734812766426182</v>
      </c>
      <c r="C22" s="410">
        <f>23617.58/92234.3</f>
        <v>0.25606070626654076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R22" s="221"/>
      <c r="T22" s="367" t="s">
        <v>50</v>
      </c>
      <c r="U22" s="368">
        <f>AI6/U6</f>
        <v>6.5407809110629076</v>
      </c>
      <c r="W22" s="66">
        <v>1</v>
      </c>
      <c r="X22" s="66">
        <v>2</v>
      </c>
      <c r="Y22" s="66">
        <v>3</v>
      </c>
      <c r="Z22" s="66">
        <v>4</v>
      </c>
      <c r="AA22" s="66">
        <v>5</v>
      </c>
      <c r="AB22" s="66">
        <v>6</v>
      </c>
      <c r="AC22" s="66">
        <v>7</v>
      </c>
      <c r="AD22" s="66">
        <v>8</v>
      </c>
      <c r="AE22" s="66">
        <v>9</v>
      </c>
      <c r="AF22" s="66">
        <v>10</v>
      </c>
      <c r="AG22" s="66">
        <v>11</v>
      </c>
      <c r="AH22" s="596"/>
      <c r="AI22" s="685"/>
    </row>
    <row r="23" spans="1:35">
      <c r="A23" s="227" t="s">
        <v>89</v>
      </c>
      <c r="B23" s="449">
        <f>R9/Q5</f>
        <v>0.30646532381522795</v>
      </c>
      <c r="C23" s="410">
        <f>24441.7/92234.3</f>
        <v>0.26499577705907673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R23" s="221"/>
      <c r="T23" s="369" t="s">
        <v>53</v>
      </c>
      <c r="U23" s="370">
        <f>AI7/U6</f>
        <v>7.7816341287057122</v>
      </c>
      <c r="W23" s="69">
        <f>AI23/4</f>
        <v>1500</v>
      </c>
      <c r="X23" s="69">
        <f>W23</f>
        <v>1500</v>
      </c>
      <c r="Y23" s="69">
        <f>W23</f>
        <v>1500</v>
      </c>
      <c r="Z23" s="69">
        <f>W23</f>
        <v>1500</v>
      </c>
      <c r="AA23" s="69"/>
      <c r="AB23" s="69"/>
      <c r="AC23" s="69"/>
      <c r="AD23" s="69"/>
      <c r="AE23" s="69"/>
      <c r="AF23" s="69"/>
      <c r="AG23" s="69"/>
      <c r="AH23" s="597"/>
      <c r="AI23" s="326">
        <f>U27</f>
        <v>6000</v>
      </c>
    </row>
    <row r="24" spans="1:35">
      <c r="A24" s="489" t="s">
        <v>91</v>
      </c>
      <c r="B24" s="484">
        <f>(R14+Q8)/Q5</f>
        <v>0.58231993691093198</v>
      </c>
      <c r="C24" s="381">
        <f>44175.02/92234.3</f>
        <v>0.47894351667438245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R24" s="221"/>
      <c r="T24" s="365" t="s">
        <v>146</v>
      </c>
      <c r="U24" s="366">
        <f>U23*U19</f>
        <v>236.5420340324483</v>
      </c>
      <c r="W24" s="71">
        <f>715.96+3014.02+414.33+322.99+200</f>
        <v>4667.3</v>
      </c>
      <c r="X24" s="72"/>
      <c r="Y24" s="72">
        <v>153.97999999999999</v>
      </c>
      <c r="Z24" s="72">
        <f>636.93+59.89+113.67</f>
        <v>810.4899999999999</v>
      </c>
      <c r="AA24" s="72"/>
      <c r="AB24" s="72">
        <f>481.08+116.74+73.07+2480.95</f>
        <v>3151.8399999999997</v>
      </c>
      <c r="AC24" s="72"/>
      <c r="AD24" s="72">
        <v>1214.1400000000001</v>
      </c>
      <c r="AE24" s="72"/>
      <c r="AF24" s="72">
        <f>1098+134.43+435</f>
        <v>1667.43</v>
      </c>
      <c r="AG24" s="72"/>
      <c r="AH24" s="598"/>
      <c r="AI24" s="398">
        <f t="shared" ref="AI24" si="7">W24+X24+Y24+Z24+AA24+AB24+AG24+AC24+AD24+AE24+AF24</f>
        <v>11665.179999999998</v>
      </c>
    </row>
    <row r="25" spans="1:35">
      <c r="A25" s="229"/>
      <c r="R25" s="221"/>
      <c r="AI25" s="221"/>
    </row>
    <row r="26" spans="1:35">
      <c r="A26" s="229"/>
      <c r="R26" s="221"/>
      <c r="T26" s="371" t="s">
        <v>90</v>
      </c>
      <c r="U26" s="372"/>
      <c r="AI26" s="221"/>
    </row>
    <row r="27" spans="1:35">
      <c r="A27" s="229"/>
      <c r="R27" s="221"/>
      <c r="T27" s="359" t="s">
        <v>50</v>
      </c>
      <c r="U27" s="360">
        <f>4500+1500</f>
        <v>6000</v>
      </c>
      <c r="AI27" s="221"/>
    </row>
    <row r="28" spans="1:35">
      <c r="A28" s="229"/>
      <c r="R28" s="221"/>
      <c r="T28" s="363" t="s">
        <v>53</v>
      </c>
      <c r="U28" s="364">
        <f>Q14+Q15</f>
        <v>12527.14</v>
      </c>
      <c r="AI28" s="221"/>
    </row>
    <row r="29" spans="1:35" ht="30.75">
      <c r="A29" s="229"/>
      <c r="R29" s="221"/>
      <c r="T29" s="490" t="s">
        <v>147</v>
      </c>
      <c r="U29" s="366">
        <f>U28/AI7</f>
        <v>11.640159821594501</v>
      </c>
      <c r="AI29" s="221"/>
    </row>
    <row r="30" spans="1:35">
      <c r="A30" s="229"/>
      <c r="R30" s="221"/>
      <c r="AI30" s="221"/>
    </row>
    <row r="31" spans="1:35">
      <c r="A31" s="229"/>
      <c r="R31" s="221"/>
      <c r="T31" s="503" t="s">
        <v>92</v>
      </c>
      <c r="U31" s="504"/>
      <c r="AI31" s="221"/>
    </row>
    <row r="32" spans="1:35" ht="30.75">
      <c r="A32" s="229"/>
      <c r="R32" s="221"/>
      <c r="T32" s="505" t="s">
        <v>93</v>
      </c>
      <c r="U32" s="506">
        <f>Q8</f>
        <v>65081.859999999993</v>
      </c>
      <c r="AI32" s="221"/>
    </row>
    <row r="33" spans="1:35">
      <c r="A33" s="229"/>
      <c r="R33" s="221"/>
      <c r="AI33" s="221"/>
    </row>
    <row r="34" spans="1:35">
      <c r="A34" s="229"/>
      <c r="R34" s="221"/>
      <c r="T34" s="686" t="s">
        <v>94</v>
      </c>
      <c r="U34" s="687"/>
      <c r="AI34" s="221"/>
    </row>
    <row r="35" spans="1:35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2"/>
      <c r="S35" s="231"/>
      <c r="T35" s="688">
        <v>45636</v>
      </c>
      <c r="U35" s="689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2"/>
    </row>
    <row r="38" spans="1:35">
      <c r="D38" s="184">
        <v>0.3</v>
      </c>
      <c r="E38" s="184">
        <v>0.6</v>
      </c>
      <c r="F38" s="184">
        <v>0.1</v>
      </c>
    </row>
    <row r="39" spans="1:35">
      <c r="B39" t="s">
        <v>297</v>
      </c>
      <c r="C39">
        <v>119402.13</v>
      </c>
      <c r="D39" s="182">
        <f>ROUND(C39*0.3,2)</f>
        <v>35820.639999999999</v>
      </c>
      <c r="E39" s="182">
        <f>ROUND(C39*0.6,2)</f>
        <v>71641.279999999999</v>
      </c>
      <c r="F39" s="182">
        <f>ROUND(C39*0.1,2)</f>
        <v>11940.21</v>
      </c>
      <c r="S39" s="1"/>
    </row>
    <row r="40" spans="1:35">
      <c r="D40" s="518" t="s">
        <v>298</v>
      </c>
    </row>
    <row r="41" spans="1:35">
      <c r="D41" t="s">
        <v>299</v>
      </c>
    </row>
    <row r="44" spans="1:35">
      <c r="C44" s="88"/>
    </row>
  </sheetData>
  <mergeCells count="20">
    <mergeCell ref="T34:U34"/>
    <mergeCell ref="M3:N3"/>
    <mergeCell ref="O3:P3"/>
    <mergeCell ref="T35:U35"/>
    <mergeCell ref="B1:AI1"/>
    <mergeCell ref="AI21:AI22"/>
    <mergeCell ref="A2:R2"/>
    <mergeCell ref="T2:AI2"/>
    <mergeCell ref="C3:D3"/>
    <mergeCell ref="E3:F3"/>
    <mergeCell ref="Q3:R3"/>
    <mergeCell ref="T3:U3"/>
    <mergeCell ref="W3:AG3"/>
    <mergeCell ref="G3:H3"/>
    <mergeCell ref="T11:U11"/>
    <mergeCell ref="T15:U15"/>
    <mergeCell ref="AI4:AI5"/>
    <mergeCell ref="W20:AG20"/>
    <mergeCell ref="K3:L3"/>
    <mergeCell ref="I3:J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greaterThan" id="{C9C62774-3457-4E75-9070-4DA991B3C2A2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U13</xm:sqref>
        </x14:conditionalFormatting>
        <x14:conditionalFormatting xmlns:xm="http://schemas.microsoft.com/office/excel/2006/main">
          <x14:cfRule type="cellIs" priority="1" operator="greaterThan" id="{91FF26CB-F0EF-4E60-9257-0188195DEC3B}">
            <xm:f>MAT!#REF!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U19</xm:sqref>
        </x14:conditionalFormatting>
        <x14:conditionalFormatting xmlns:xm="http://schemas.microsoft.com/office/excel/2006/main">
          <x14:cfRule type="cellIs" priority="4" operator="greaterThan" id="{547BC8F2-D3CA-424C-81F5-53F8C7BFB089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U21</xm:sqref>
        </x14:conditionalFormatting>
        <x14:conditionalFormatting xmlns:xm="http://schemas.microsoft.com/office/excel/2006/main">
          <x14:cfRule type="cellIs" priority="3" operator="greaterThan" id="{438DC35D-5F7F-4B58-987D-BE9B00D9B78B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U24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643D-C1C1-4201-8FEF-BA355749045B}">
  <sheetPr>
    <pageSetUpPr fitToPage="1"/>
  </sheetPr>
  <dimension ref="A1:AA39"/>
  <sheetViews>
    <sheetView workbookViewId="0">
      <selection activeCell="G7" sqref="G7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3.42578125" customWidth="1"/>
    <col min="4" max="5" width="10.7109375" customWidth="1"/>
    <col min="6" max="6" width="10.140625" customWidth="1"/>
    <col min="7" max="7" width="10.7109375" customWidth="1"/>
    <col min="8" max="8" width="10.140625" customWidth="1"/>
    <col min="9" max="10" width="10.7109375" customWidth="1"/>
    <col min="11" max="11" width="3.28515625" customWidth="1"/>
    <col min="12" max="12" width="23.7109375" customWidth="1"/>
    <col min="13" max="13" width="18.140625" bestFit="1" customWidth="1"/>
    <col min="14" max="14" width="2.85546875" customWidth="1"/>
    <col min="15" max="23" width="8.7109375" customWidth="1"/>
    <col min="24" max="24" width="12.7109375" customWidth="1" outlineLevel="1"/>
    <col min="25" max="25" width="2.28515625" customWidth="1" outlineLevel="1"/>
    <col min="26" max="27" width="12.7109375" customWidth="1"/>
  </cols>
  <sheetData>
    <row r="1" spans="1:27" ht="25.5" customHeight="1">
      <c r="A1" s="187" t="s">
        <v>300</v>
      </c>
      <c r="B1" s="634" t="s">
        <v>301</v>
      </c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</row>
    <row r="2" spans="1:27" ht="18.75">
      <c r="A2" s="712" t="s">
        <v>30</v>
      </c>
      <c r="B2" s="656"/>
      <c r="C2" s="656"/>
      <c r="D2" s="656"/>
      <c r="E2" s="656"/>
      <c r="F2" s="656"/>
      <c r="G2" s="656"/>
      <c r="H2" s="656"/>
      <c r="I2" s="656"/>
      <c r="J2" s="657"/>
      <c r="K2" s="7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705"/>
    </row>
    <row r="3" spans="1:27" ht="15.75" customHeight="1">
      <c r="A3" s="78"/>
      <c r="C3" s="690" t="s">
        <v>35</v>
      </c>
      <c r="D3" s="691"/>
      <c r="E3" s="713" t="s">
        <v>99</v>
      </c>
      <c r="F3" s="714"/>
      <c r="G3" s="713" t="s">
        <v>237</v>
      </c>
      <c r="H3" s="714"/>
      <c r="I3" s="710" t="s">
        <v>36</v>
      </c>
      <c r="J3" s="715"/>
      <c r="L3" s="670" t="s">
        <v>138</v>
      </c>
      <c r="M3" s="671"/>
      <c r="N3" s="110"/>
      <c r="O3" s="644" t="s">
        <v>13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111"/>
    </row>
    <row r="4" spans="1:27" ht="16.5" customHeight="1">
      <c r="A4" s="79" t="s">
        <v>40</v>
      </c>
      <c r="B4" s="5" t="s">
        <v>41</v>
      </c>
      <c r="C4" s="77">
        <f>(M4+M5)/8*2</f>
        <v>32727.762500000001</v>
      </c>
      <c r="D4" s="11"/>
      <c r="E4" s="203">
        <f>(M4+M5)/8*4</f>
        <v>65455.525000000001</v>
      </c>
      <c r="G4" s="203">
        <f>(M4+M5)/8*2</f>
        <v>32727.762500000001</v>
      </c>
      <c r="I4" s="142">
        <f>C4+E4+G4</f>
        <v>130911.05</v>
      </c>
      <c r="J4" s="80"/>
      <c r="L4" s="349" t="s">
        <v>64</v>
      </c>
      <c r="M4" s="502">
        <v>129183.05</v>
      </c>
      <c r="N4" s="110"/>
      <c r="O4" s="160" t="s">
        <v>302</v>
      </c>
      <c r="P4" s="188" t="s">
        <v>229</v>
      </c>
      <c r="Q4" s="487" t="s">
        <v>303</v>
      </c>
      <c r="R4" s="487" t="s">
        <v>238</v>
      </c>
      <c r="S4" s="160" t="s">
        <v>239</v>
      </c>
      <c r="T4" s="160" t="s">
        <v>240</v>
      </c>
      <c r="U4" s="160" t="s">
        <v>241</v>
      </c>
      <c r="V4" s="160" t="s">
        <v>293</v>
      </c>
      <c r="W4" s="527" t="s">
        <v>304</v>
      </c>
      <c r="X4" s="528"/>
      <c r="Y4" s="29"/>
      <c r="Z4" s="718" t="s">
        <v>49</v>
      </c>
    </row>
    <row r="5" spans="1:27">
      <c r="A5" s="79" t="s">
        <v>51</v>
      </c>
      <c r="B5" s="5" t="s">
        <v>52</v>
      </c>
      <c r="C5" s="161">
        <f>C6+C7+C8+C9+C10+C11+C13+C14+C16+C15+C12</f>
        <v>18285.352566328002</v>
      </c>
      <c r="D5" s="12"/>
      <c r="E5" s="190">
        <f>E6+E7+E8+E9+E10+E11+E13+E14+E16+E15+E12</f>
        <v>27893.591100720005</v>
      </c>
      <c r="F5" s="5"/>
      <c r="G5" s="190">
        <f>G6+G7+G8+G9+G10+G11+G13+G14+G16+G15+G12</f>
        <v>72768.763030699192</v>
      </c>
      <c r="H5" s="5"/>
      <c r="I5" s="143">
        <f>I6+I7+I8+I9+I10+I11+I13+I14+I16+I15+I12+I17</f>
        <v>118947.70669774721</v>
      </c>
      <c r="J5" s="81"/>
      <c r="L5" s="399" t="s">
        <v>67</v>
      </c>
      <c r="M5" s="507">
        <v>1728</v>
      </c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212">
        <v>9</v>
      </c>
      <c r="X5" s="529">
        <v>10</v>
      </c>
      <c r="Y5" s="33">
        <v>11</v>
      </c>
      <c r="Z5" s="719"/>
    </row>
    <row r="6" spans="1:27">
      <c r="A6" s="82" t="s">
        <v>54</v>
      </c>
      <c r="B6" s="75" t="s">
        <v>55</v>
      </c>
      <c r="C6" s="17">
        <f>325.2+3691.78+120+2287.44+848.2+725.03+522.61+62.7+39.71+26.87+1402.52-676.86</f>
        <v>9375.2000000000007</v>
      </c>
      <c r="D6" s="13">
        <f>C6+C7+C8</f>
        <v>9792.5500000000011</v>
      </c>
      <c r="E6" s="252">
        <f>391.9+1265.79+13.15+340.63+243.09+47.89+15.62+814.96+81.7+472.66+202.84+18.54+16.51+85.11+164.46+61.29+19.71+755.23+19.45+51.38+37.11+0.5+45.2+2.52+250</f>
        <v>5417.24</v>
      </c>
      <c r="F6" s="13">
        <f>E6+E7+E8</f>
        <v>8849.31</v>
      </c>
      <c r="G6" s="147">
        <f>97.56+53.09+211.77+84.43+10.59+2.2+6.4+11.02+32.16+3.96+15.88+10.24+81.69+9.98+57.98-250+280+180.05+247.74</f>
        <v>1146.74</v>
      </c>
      <c r="H6" s="13">
        <f>G6+G7+G8</f>
        <v>65707.66</v>
      </c>
      <c r="I6" s="9">
        <f>C6+E6+G6</f>
        <v>15939.18</v>
      </c>
      <c r="J6" s="84">
        <f>I6+I7+I8</f>
        <v>84349.520000000019</v>
      </c>
      <c r="L6" s="351" t="s">
        <v>71</v>
      </c>
      <c r="M6" s="352">
        <v>600.6</v>
      </c>
      <c r="O6" s="40">
        <f>Z6/9</f>
        <v>126.61222222222221</v>
      </c>
      <c r="P6" s="40">
        <f>O6</f>
        <v>126.61222222222221</v>
      </c>
      <c r="Q6" s="40">
        <f>O6</f>
        <v>126.61222222222221</v>
      </c>
      <c r="R6" s="40">
        <f>Q6</f>
        <v>126.61222222222221</v>
      </c>
      <c r="S6" s="40">
        <f>R6</f>
        <v>126.61222222222221</v>
      </c>
      <c r="T6" s="40">
        <f>O6</f>
        <v>126.61222222222221</v>
      </c>
      <c r="U6" s="41">
        <f>O6</f>
        <v>126.61222222222221</v>
      </c>
      <c r="V6" s="41">
        <f>O6</f>
        <v>126.61222222222221</v>
      </c>
      <c r="W6" s="40">
        <f>O6</f>
        <v>126.61222222222221</v>
      </c>
      <c r="X6" s="530"/>
      <c r="Y6" s="41"/>
      <c r="Z6" s="115">
        <f>1139.51</f>
        <v>1139.51</v>
      </c>
    </row>
    <row r="7" spans="1:27">
      <c r="A7" s="85" t="s">
        <v>56</v>
      </c>
      <c r="B7" s="86" t="s">
        <v>57</v>
      </c>
      <c r="C7" s="126"/>
      <c r="D7" s="13"/>
      <c r="E7" s="145">
        <v>80</v>
      </c>
      <c r="F7" s="13"/>
      <c r="G7" s="145"/>
      <c r="H7" s="13"/>
      <c r="I7" s="9">
        <f t="shared" ref="I7:I16" si="0">C7+E7+G7</f>
        <v>80</v>
      </c>
      <c r="J7" s="84"/>
      <c r="L7" s="353" t="s">
        <v>74</v>
      </c>
      <c r="M7" s="354" t="s">
        <v>75</v>
      </c>
      <c r="O7" s="49"/>
      <c r="P7" s="50">
        <f>35.93+37.82+28.88+35.33+36+27</f>
        <v>200.95999999999998</v>
      </c>
      <c r="Q7" s="50">
        <f>9.02+18.02+18.82+18.02+18+18+24.62+24.65+10+9.4+26.08+24.65</f>
        <v>219.28</v>
      </c>
      <c r="R7" s="50">
        <f>47.88+46.02+50.43+48.58+39.42+48.65</f>
        <v>280.98</v>
      </c>
      <c r="S7" s="50">
        <f>47.27+42.72+21.12+42.7</f>
        <v>153.81</v>
      </c>
      <c r="T7" s="50">
        <f>36.37+8.77+27.12+9+8.5+9.02+27.77</f>
        <v>126.55</v>
      </c>
      <c r="U7" s="51">
        <f>37.85+25+26+6.73+3.5</f>
        <v>99.08</v>
      </c>
      <c r="V7" s="51">
        <f>86.1+36</f>
        <v>122.1</v>
      </c>
      <c r="W7" s="50">
        <v>75.7</v>
      </c>
      <c r="X7" s="531">
        <v>25.7</v>
      </c>
      <c r="Y7" s="51"/>
      <c r="Z7" s="173">
        <f t="shared" ref="Z7" si="1">O7+P7+Q7+R7+S7+T7+Y7+U7+V7+W7+X7</f>
        <v>1304.1599999999999</v>
      </c>
      <c r="AA7" s="120">
        <f>Z6-Z7</f>
        <v>-164.64999999999986</v>
      </c>
    </row>
    <row r="8" spans="1:27">
      <c r="A8" s="87" t="s">
        <v>58</v>
      </c>
      <c r="B8" s="76" t="s">
        <v>59</v>
      </c>
      <c r="C8" s="18">
        <f>417.35</f>
        <v>417.35</v>
      </c>
      <c r="D8" s="14"/>
      <c r="E8" s="146">
        <f>452.07+2900</f>
        <v>3352.07</v>
      </c>
      <c r="F8" s="14"/>
      <c r="G8" s="532">
        <f>7125+417.35+480+17+21810.7+417.25+H38+H39+19354.07+252.45</f>
        <v>64560.920000000006</v>
      </c>
      <c r="H8" s="14"/>
      <c r="I8" s="174">
        <f t="shared" si="0"/>
        <v>68330.340000000011</v>
      </c>
      <c r="J8" s="89"/>
      <c r="L8" s="355" t="s">
        <v>78</v>
      </c>
      <c r="M8" s="465">
        <v>13</v>
      </c>
      <c r="Z8" s="99"/>
    </row>
    <row r="9" spans="1:27">
      <c r="A9" s="82" t="s">
        <v>60</v>
      </c>
      <c r="B9" s="75" t="s">
        <v>61</v>
      </c>
      <c r="C9" s="129">
        <f>((54+45)*9+53.95*12+147.88*10)*1.42</f>
        <v>4284.424</v>
      </c>
      <c r="D9" s="141">
        <f>C9+C10+C11+C13+C12</f>
        <v>8009.6725663279994</v>
      </c>
      <c r="E9" s="249">
        <f>9765.98+459*1.42</f>
        <v>10417.76</v>
      </c>
      <c r="F9" s="141">
        <f>E9+E10+E11+E13+E12</f>
        <v>18487.221100720002</v>
      </c>
      <c r="G9" s="547">
        <f>(123.37*11+70.89*9+50+39.5*10)*1.42</f>
        <v>3464.9135999999999</v>
      </c>
      <c r="H9" s="141">
        <f>G9+G10+G11+G13+G12</f>
        <v>6915.8130306992007</v>
      </c>
      <c r="I9" s="9">
        <f t="shared" si="0"/>
        <v>18167.097600000001</v>
      </c>
      <c r="J9" s="90">
        <f>I9+I10+I11+I13+I12</f>
        <v>33412.706697747206</v>
      </c>
      <c r="L9" s="357" t="s">
        <v>81</v>
      </c>
      <c r="M9" s="358">
        <v>12</v>
      </c>
      <c r="Z9" s="99"/>
    </row>
    <row r="10" spans="1:27">
      <c r="A10" s="85" t="s">
        <v>62</v>
      </c>
      <c r="B10" s="86" t="s">
        <v>63</v>
      </c>
      <c r="C10" s="126">
        <f>C9*0.2359</f>
        <v>1010.6956216</v>
      </c>
      <c r="D10" s="13"/>
      <c r="E10" s="145">
        <f>E9*0.2359</f>
        <v>2457.5495839999999</v>
      </c>
      <c r="F10" s="13"/>
      <c r="G10" s="145">
        <f>G9*0.2359</f>
        <v>817.37311823999994</v>
      </c>
      <c r="H10" s="13"/>
      <c r="I10" s="9">
        <f t="shared" si="0"/>
        <v>4285.6183238399999</v>
      </c>
      <c r="J10" s="89"/>
      <c r="Z10" s="99"/>
    </row>
    <row r="11" spans="1:27">
      <c r="A11" s="85" t="s">
        <v>65</v>
      </c>
      <c r="B11" s="86" t="s">
        <v>66</v>
      </c>
      <c r="C11" s="126">
        <f>(C9+C10)*0.08</f>
        <v>423.609569728</v>
      </c>
      <c r="D11" s="13"/>
      <c r="E11" s="145">
        <f>(E9+E10)*0.08</f>
        <v>1030.0247667200001</v>
      </c>
      <c r="F11" s="13"/>
      <c r="G11" s="145">
        <f>(G9+G10)*0.08</f>
        <v>342.58293745919997</v>
      </c>
      <c r="H11" s="13"/>
      <c r="I11" s="9">
        <f t="shared" si="0"/>
        <v>1796.2172739072</v>
      </c>
      <c r="J11" s="89"/>
      <c r="L11" s="674" t="s">
        <v>85</v>
      </c>
      <c r="M11" s="675"/>
      <c r="Z11" s="99"/>
    </row>
    <row r="12" spans="1:27">
      <c r="A12" s="91" t="s">
        <v>68</v>
      </c>
      <c r="B12" s="92" t="s">
        <v>21</v>
      </c>
      <c r="C12" s="127">
        <f>(C4)*0.07</f>
        <v>2290.9433750000003</v>
      </c>
      <c r="D12" s="133"/>
      <c r="E12" s="147">
        <f>(E4)*0.07</f>
        <v>4581.8867500000006</v>
      </c>
      <c r="F12" s="133"/>
      <c r="G12" s="147">
        <f>(G4)*0.07</f>
        <v>2290.9433750000003</v>
      </c>
      <c r="H12" s="133"/>
      <c r="I12" s="9">
        <f t="shared" si="0"/>
        <v>9163.7735000000011</v>
      </c>
      <c r="J12" s="89"/>
      <c r="L12" s="359" t="s">
        <v>50</v>
      </c>
      <c r="M12" s="360">
        <v>16356.41</v>
      </c>
      <c r="Z12" s="99"/>
    </row>
    <row r="13" spans="1:27">
      <c r="A13" s="85" t="s">
        <v>69</v>
      </c>
      <c r="B13" s="86" t="s">
        <v>70</v>
      </c>
      <c r="C13" s="130"/>
      <c r="D13" s="134"/>
      <c r="E13" s="150"/>
      <c r="F13" s="134"/>
      <c r="G13" s="150"/>
      <c r="H13" s="134"/>
      <c r="I13" s="174">
        <f t="shared" si="0"/>
        <v>0</v>
      </c>
      <c r="J13" s="93"/>
      <c r="L13" s="361" t="s">
        <v>53</v>
      </c>
      <c r="M13" s="362">
        <f>J6-I8</f>
        <v>16019.180000000008</v>
      </c>
      <c r="Z13" s="99"/>
    </row>
    <row r="14" spans="1:27">
      <c r="A14" s="94" t="s">
        <v>72</v>
      </c>
      <c r="B14" s="75" t="s">
        <v>73</v>
      </c>
      <c r="C14" s="127"/>
      <c r="D14" s="13">
        <f>C14+C16+C15</f>
        <v>483.13</v>
      </c>
      <c r="E14" s="147">
        <v>45</v>
      </c>
      <c r="F14" s="13">
        <f>E14+E16+E15</f>
        <v>557.05999999999995</v>
      </c>
      <c r="G14" s="147">
        <v>60</v>
      </c>
      <c r="H14" s="13">
        <f>G14+G16+G15</f>
        <v>145.29000000000002</v>
      </c>
      <c r="I14" s="9">
        <f t="shared" si="0"/>
        <v>105</v>
      </c>
      <c r="J14" s="89">
        <f>I14+I16+I15+I17</f>
        <v>1185.48</v>
      </c>
      <c r="Z14" s="99"/>
    </row>
    <row r="15" spans="1:27">
      <c r="A15" s="95" t="s">
        <v>76</v>
      </c>
      <c r="B15" s="86" t="s">
        <v>77</v>
      </c>
      <c r="C15" s="127">
        <v>100</v>
      </c>
      <c r="D15" s="13"/>
      <c r="E15" s="147"/>
      <c r="F15" s="13"/>
      <c r="G15" s="147"/>
      <c r="H15" s="13"/>
      <c r="I15" s="9">
        <f t="shared" si="0"/>
        <v>100</v>
      </c>
      <c r="J15" s="89"/>
      <c r="L15" s="651" t="s">
        <v>89</v>
      </c>
      <c r="M15" s="652"/>
      <c r="Z15" s="99"/>
    </row>
    <row r="16" spans="1:27">
      <c r="A16" s="85" t="s">
        <v>79</v>
      </c>
      <c r="B16" s="86" t="s">
        <v>80</v>
      </c>
      <c r="C16" s="126">
        <f>155.63+125+102.5</f>
        <v>383.13</v>
      </c>
      <c r="D16" s="13"/>
      <c r="E16" s="13">
        <f>282.63+229.43</f>
        <v>512.05999999999995</v>
      </c>
      <c r="F16" s="13"/>
      <c r="G16" s="13">
        <f>85.29</f>
        <v>85.29</v>
      </c>
      <c r="H16" s="13"/>
      <c r="I16" s="9">
        <f t="shared" si="0"/>
        <v>980.4799999999999</v>
      </c>
      <c r="J16" s="89"/>
      <c r="L16" s="359" t="s">
        <v>50</v>
      </c>
      <c r="M16" s="360">
        <v>23929.69</v>
      </c>
      <c r="Z16" s="99"/>
    </row>
    <row r="17" spans="1:26">
      <c r="A17" s="85"/>
      <c r="B17" s="86"/>
      <c r="C17" s="126"/>
      <c r="D17" s="13"/>
      <c r="E17" s="13"/>
      <c r="F17" s="13"/>
      <c r="G17" s="13"/>
      <c r="H17" s="13"/>
      <c r="I17" s="9"/>
      <c r="J17" s="89"/>
      <c r="L17" s="363" t="s">
        <v>53</v>
      </c>
      <c r="M17" s="364">
        <f>J9-I12</f>
        <v>24248.933197747203</v>
      </c>
      <c r="Z17" s="99"/>
    </row>
    <row r="18" spans="1:26">
      <c r="A18" s="79" t="s">
        <v>82</v>
      </c>
      <c r="B18" s="5" t="s">
        <v>83</v>
      </c>
      <c r="C18" s="157">
        <f>C4-C5</f>
        <v>14442.409933671999</v>
      </c>
      <c r="D18" s="121">
        <f>C18/C4</f>
        <v>0.44128925506813976</v>
      </c>
      <c r="E18" s="166">
        <f>E4-E5</f>
        <v>37561.933899279997</v>
      </c>
      <c r="F18" s="122">
        <f>E18/E4</f>
        <v>0.57385429112790698</v>
      </c>
      <c r="G18" s="166">
        <f>G4-G5</f>
        <v>-40041.000530699195</v>
      </c>
      <c r="H18" s="122">
        <f>G18/G4</f>
        <v>-1.2234567068463418</v>
      </c>
      <c r="I18" s="15">
        <f>I4-I5</f>
        <v>11963.34330225279</v>
      </c>
      <c r="J18" s="96">
        <f>I18/I4</f>
        <v>9.1385282619402944E-2</v>
      </c>
      <c r="L18" s="377" t="s">
        <v>141</v>
      </c>
      <c r="M18" s="409" t="e">
        <f>M17/Y7</f>
        <v>#DIV/0!</v>
      </c>
      <c r="Z18" s="99"/>
    </row>
    <row r="19" spans="1:26">
      <c r="A19" s="393" t="s">
        <v>142</v>
      </c>
      <c r="B19" s="339" t="s">
        <v>143</v>
      </c>
      <c r="C19" s="499"/>
      <c r="D19" s="500"/>
      <c r="E19" s="499"/>
      <c r="F19" s="500"/>
      <c r="G19" s="499"/>
      <c r="H19" s="500"/>
      <c r="I19" s="501">
        <f>M4-111344.98</f>
        <v>17838.070000000007</v>
      </c>
      <c r="J19" s="498">
        <f>I19/M4</f>
        <v>0.13808367274189615</v>
      </c>
      <c r="Z19" s="99"/>
    </row>
    <row r="20" spans="1:26" ht="20.25" customHeight="1">
      <c r="A20" s="97"/>
      <c r="B20" s="98"/>
      <c r="C20" s="98"/>
      <c r="D20" s="98"/>
      <c r="E20" s="98"/>
      <c r="F20" s="98"/>
      <c r="G20" s="98"/>
      <c r="H20" s="98"/>
      <c r="J20" s="99"/>
      <c r="L20" s="373" t="s">
        <v>100</v>
      </c>
      <c r="M20" s="374"/>
      <c r="O20" s="644" t="s">
        <v>90</v>
      </c>
      <c r="P20" s="645"/>
      <c r="Q20" s="645"/>
      <c r="R20" s="645"/>
      <c r="S20" s="645"/>
      <c r="T20" s="645"/>
      <c r="U20" s="645"/>
      <c r="V20" s="645"/>
      <c r="W20" s="645"/>
      <c r="X20" s="645"/>
      <c r="Y20" s="646"/>
      <c r="Z20" s="111"/>
    </row>
    <row r="21" spans="1:26">
      <c r="A21" s="395" t="s">
        <v>86</v>
      </c>
      <c r="B21" s="412" t="s">
        <v>144</v>
      </c>
      <c r="C21" s="445" t="s">
        <v>145</v>
      </c>
      <c r="D21" s="101"/>
      <c r="E21" s="101"/>
      <c r="F21" s="101"/>
      <c r="G21" s="101"/>
      <c r="H21" s="101"/>
      <c r="J21" s="99"/>
      <c r="L21" s="367" t="s">
        <v>50</v>
      </c>
      <c r="M21" s="368">
        <f>Z6/M6</f>
        <v>1.8972860472860471</v>
      </c>
      <c r="O21" s="160" t="s">
        <v>302</v>
      </c>
      <c r="P21" s="188" t="s">
        <v>229</v>
      </c>
      <c r="Q21" s="487" t="s">
        <v>303</v>
      </c>
      <c r="R21" s="487" t="s">
        <v>238</v>
      </c>
      <c r="S21" s="160" t="s">
        <v>239</v>
      </c>
      <c r="T21" s="160" t="s">
        <v>240</v>
      </c>
      <c r="U21" s="160" t="s">
        <v>241</v>
      </c>
      <c r="V21" s="160" t="s">
        <v>293</v>
      </c>
      <c r="W21" s="160" t="s">
        <v>304</v>
      </c>
      <c r="X21" s="28"/>
      <c r="Y21" s="28"/>
      <c r="Z21" s="702" t="s">
        <v>49</v>
      </c>
    </row>
    <row r="22" spans="1:26">
      <c r="A22" s="226" t="s">
        <v>88</v>
      </c>
      <c r="B22" s="449">
        <f>(J6-I8)/I5</f>
        <v>0.1346741391215355</v>
      </c>
      <c r="C22" s="410">
        <f>16356.41/111344.98</f>
        <v>0.14689849510952357</v>
      </c>
      <c r="D22" s="103"/>
      <c r="E22" s="103"/>
      <c r="F22" s="103"/>
      <c r="G22" s="103"/>
      <c r="H22" s="103"/>
      <c r="J22" s="99"/>
      <c r="L22" s="369" t="s">
        <v>53</v>
      </c>
      <c r="M22" s="370">
        <f>Z7/M6</f>
        <v>2.1714285714285713</v>
      </c>
      <c r="O22" s="66">
        <v>1</v>
      </c>
      <c r="P22" s="66">
        <v>2</v>
      </c>
      <c r="Q22" s="66">
        <v>3</v>
      </c>
      <c r="R22" s="66">
        <v>4</v>
      </c>
      <c r="S22" s="66">
        <v>5</v>
      </c>
      <c r="T22" s="66">
        <v>6</v>
      </c>
      <c r="U22" s="66">
        <v>7</v>
      </c>
      <c r="V22" s="66">
        <v>8</v>
      </c>
      <c r="W22" s="66">
        <v>9</v>
      </c>
      <c r="X22" s="66">
        <v>10</v>
      </c>
      <c r="Y22" s="66">
        <v>11</v>
      </c>
      <c r="Z22" s="703"/>
    </row>
    <row r="23" spans="1:26">
      <c r="A23" s="227" t="s">
        <v>89</v>
      </c>
      <c r="B23" s="449">
        <f>J9/I5</f>
        <v>0.28090248753303637</v>
      </c>
      <c r="C23" s="410">
        <f>23929.69/111344.98</f>
        <v>0.21491485291927845</v>
      </c>
      <c r="D23" s="103"/>
      <c r="E23" s="103"/>
      <c r="F23" s="103"/>
      <c r="G23" s="103"/>
      <c r="H23" s="103"/>
      <c r="J23" s="99"/>
      <c r="L23" s="365" t="s">
        <v>146</v>
      </c>
      <c r="M23" s="366" t="e">
        <f>M22*M18</f>
        <v>#DIV/0!</v>
      </c>
      <c r="O23" s="69">
        <f>Z23/5</f>
        <v>0</v>
      </c>
      <c r="P23" s="69">
        <f>O23</f>
        <v>0</v>
      </c>
      <c r="Q23" s="69">
        <f>O23</f>
        <v>0</v>
      </c>
      <c r="R23" s="69">
        <f>Z23/4</f>
        <v>0</v>
      </c>
      <c r="S23" s="69">
        <f>R23</f>
        <v>0</v>
      </c>
      <c r="T23" s="69"/>
      <c r="U23" s="69"/>
      <c r="V23" s="69"/>
      <c r="W23" s="69"/>
      <c r="X23" s="69"/>
      <c r="Y23" s="69"/>
      <c r="Z23" s="119"/>
    </row>
    <row r="24" spans="1:26">
      <c r="A24" s="489" t="s">
        <v>91</v>
      </c>
      <c r="B24" s="484">
        <f>(J14+I8)/I5</f>
        <v>0.58442337334542815</v>
      </c>
      <c r="C24" s="381">
        <f>71058.88/111344.98</f>
        <v>0.63818665197119806</v>
      </c>
      <c r="D24" s="103"/>
      <c r="E24" s="103"/>
      <c r="F24" s="103"/>
      <c r="G24" s="103"/>
      <c r="H24" s="103"/>
      <c r="J24" s="99"/>
      <c r="O24" s="71"/>
      <c r="P24" s="72"/>
      <c r="Q24" s="72"/>
      <c r="R24" s="72"/>
      <c r="S24" s="72"/>
      <c r="T24" s="72"/>
      <c r="U24" s="72">
        <v>45</v>
      </c>
      <c r="V24" s="72"/>
      <c r="W24" s="72"/>
      <c r="X24" s="72"/>
      <c r="Y24" s="72"/>
      <c r="Z24" s="152">
        <f t="shared" ref="Z24" si="2">O24+P24+Q24+R24+S24+T24+Y24+U24+V24+W24+X24</f>
        <v>45</v>
      </c>
    </row>
    <row r="25" spans="1:26">
      <c r="A25" s="78"/>
      <c r="J25" s="99"/>
      <c r="L25" s="371" t="s">
        <v>90</v>
      </c>
      <c r="M25" s="372"/>
      <c r="Z25" s="99"/>
    </row>
    <row r="26" spans="1:26">
      <c r="A26" s="78"/>
      <c r="J26" s="99"/>
      <c r="L26" s="359" t="s">
        <v>50</v>
      </c>
      <c r="M26" s="360">
        <f>Y27</f>
        <v>0</v>
      </c>
      <c r="Z26" s="99"/>
    </row>
    <row r="27" spans="1:26" ht="27" customHeight="1">
      <c r="A27" s="78"/>
      <c r="J27" s="99"/>
      <c r="L27" s="363" t="s">
        <v>53</v>
      </c>
      <c r="M27" s="364">
        <f>Y28</f>
        <v>0</v>
      </c>
      <c r="Z27" s="99"/>
    </row>
    <row r="28" spans="1:26" ht="27.75" customHeight="1">
      <c r="A28" s="78"/>
      <c r="J28" s="99"/>
      <c r="L28" s="490" t="s">
        <v>147</v>
      </c>
      <c r="M28" s="366" t="e">
        <f>M27/Y7</f>
        <v>#DIV/0!</v>
      </c>
      <c r="Z28" s="99"/>
    </row>
    <row r="29" spans="1:26">
      <c r="A29" s="78"/>
      <c r="J29" s="99"/>
      <c r="Z29" s="99"/>
    </row>
    <row r="30" spans="1:26">
      <c r="A30" s="78"/>
      <c r="J30" s="99"/>
      <c r="L30" s="503" t="s">
        <v>92</v>
      </c>
      <c r="M30" s="504">
        <f>66858.34</f>
        <v>66858.34</v>
      </c>
      <c r="Z30" s="99"/>
    </row>
    <row r="31" spans="1:26" ht="27.75">
      <c r="A31" s="78"/>
      <c r="J31" s="99"/>
      <c r="L31" s="505" t="s">
        <v>93</v>
      </c>
      <c r="M31" s="506">
        <f>I8</f>
        <v>68330.340000000011</v>
      </c>
      <c r="Z31" s="99"/>
    </row>
    <row r="32" spans="1:26">
      <c r="A32" s="78"/>
      <c r="J32" s="99"/>
      <c r="Z32" s="99"/>
    </row>
    <row r="33" spans="1:26">
      <c r="A33" s="78"/>
      <c r="J33" s="99"/>
      <c r="L33" s="720" t="s">
        <v>94</v>
      </c>
      <c r="M33" s="721"/>
      <c r="Z33" s="99"/>
    </row>
    <row r="34" spans="1:26">
      <c r="A34" s="106"/>
      <c r="B34" s="107"/>
      <c r="C34" s="107"/>
      <c r="D34" s="107"/>
      <c r="E34" s="107"/>
      <c r="F34" s="107"/>
      <c r="G34" s="107"/>
      <c r="H34" s="107"/>
      <c r="I34" s="107"/>
      <c r="J34" s="108"/>
      <c r="L34" s="716">
        <v>45470</v>
      </c>
      <c r="M34" s="71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8"/>
    </row>
    <row r="37" spans="1:26">
      <c r="G37" t="s">
        <v>305</v>
      </c>
    </row>
    <row r="38" spans="1:26">
      <c r="G38" t="s">
        <v>306</v>
      </c>
      <c r="H38">
        <f>20626.31-19354.07</f>
        <v>1272.2400000000016</v>
      </c>
    </row>
    <row r="39" spans="1:26">
      <c r="G39" t="s">
        <v>307</v>
      </c>
      <c r="H39">
        <v>13414.86</v>
      </c>
      <c r="K39" s="1"/>
    </row>
  </sheetData>
  <mergeCells count="16">
    <mergeCell ref="L34:M34"/>
    <mergeCell ref="Z4:Z5"/>
    <mergeCell ref="O20:Y20"/>
    <mergeCell ref="L11:M11"/>
    <mergeCell ref="L15:M15"/>
    <mergeCell ref="L33:M33"/>
    <mergeCell ref="B1:Z1"/>
    <mergeCell ref="Z21:Z22"/>
    <mergeCell ref="A2:J2"/>
    <mergeCell ref="L2:Z2"/>
    <mergeCell ref="C3:D3"/>
    <mergeCell ref="E3:F3"/>
    <mergeCell ref="I3:J3"/>
    <mergeCell ref="L3:M3"/>
    <mergeCell ref="O3:Y3"/>
    <mergeCell ref="G3:H3"/>
  </mergeCells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greaterThan" id="{11539221-9AB7-42C8-B5BE-0DA12FA3CB81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ellIs" priority="1" operator="greaterThan" id="{74948F34-91A8-4E67-AB62-D59B668BC3D7}">
            <xm:f>MAT!#REF!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M18</xm:sqref>
        </x14:conditionalFormatting>
        <x14:conditionalFormatting xmlns:xm="http://schemas.microsoft.com/office/excel/2006/main">
          <x14:cfRule type="cellIs" priority="4" operator="greaterThan" id="{BEA28E45-27AE-46E1-8CB8-D35DC7E6BAAB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M20</xm:sqref>
        </x14:conditionalFormatting>
        <x14:conditionalFormatting xmlns:xm="http://schemas.microsoft.com/office/excel/2006/main">
          <x14:cfRule type="cellIs" priority="3" operator="greaterThan" id="{9A4C9164-EDB6-4541-95F5-476401A67F33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M23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3DAE-05A8-4593-AA65-ED9AB5C924EE}">
  <sheetPr>
    <pageSetUpPr fitToPage="1"/>
  </sheetPr>
  <dimension ref="A1:AG50"/>
  <sheetViews>
    <sheetView workbookViewId="0">
      <selection activeCell="W6" sqref="W6"/>
    </sheetView>
  </sheetViews>
  <sheetFormatPr defaultRowHeight="15" outlineLevelCol="1"/>
  <cols>
    <col min="1" max="1" width="36.42578125" bestFit="1" customWidth="1"/>
    <col min="2" max="2" width="28.7109375" customWidth="1"/>
    <col min="3" max="3" width="12.5703125" customWidth="1"/>
    <col min="4" max="5" width="10.7109375" customWidth="1"/>
    <col min="6" max="6" width="10.140625" customWidth="1"/>
    <col min="7" max="7" width="10.7109375" customWidth="1"/>
    <col min="8" max="8" width="10.140625" customWidth="1"/>
    <col min="9" max="9" width="10.7109375" customWidth="1"/>
    <col min="10" max="10" width="10.140625" customWidth="1"/>
    <col min="11" max="11" width="10.7109375" customWidth="1"/>
    <col min="12" max="12" width="10.140625" customWidth="1"/>
    <col min="13" max="13" width="10.7109375" customWidth="1"/>
    <col min="14" max="14" width="10.140625" customWidth="1"/>
    <col min="15" max="16" width="10.7109375" customWidth="1"/>
    <col min="17" max="17" width="3.28515625" customWidth="1"/>
    <col min="18" max="18" width="23.7109375" customWidth="1"/>
    <col min="19" max="19" width="18.140625" bestFit="1" customWidth="1"/>
    <col min="20" max="20" width="2.85546875" customWidth="1"/>
    <col min="21" max="21" width="20.7109375" hidden="1" customWidth="1" outlineLevel="1"/>
    <col min="22" max="22" width="6.7109375" customWidth="1" collapsed="1"/>
    <col min="23" max="29" width="6.7109375" customWidth="1"/>
    <col min="30" max="30" width="7.85546875" customWidth="1"/>
    <col min="31" max="31" width="7.28515625" customWidth="1" outlineLevel="1"/>
    <col min="32" max="32" width="11.140625" customWidth="1" outlineLevel="1"/>
    <col min="33" max="34" width="12.7109375" customWidth="1"/>
  </cols>
  <sheetData>
    <row r="1" spans="1:33" ht="25.5" customHeight="1">
      <c r="A1" s="187" t="s">
        <v>308</v>
      </c>
      <c r="B1" s="677" t="s">
        <v>309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7"/>
      <c r="AD1" s="677"/>
      <c r="AE1" s="677"/>
      <c r="AF1" s="677"/>
      <c r="AG1" s="677"/>
    </row>
    <row r="2" spans="1:33" ht="18.75">
      <c r="A2" s="681" t="s">
        <v>30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7"/>
      <c r="Q2" s="7"/>
      <c r="R2" s="491"/>
      <c r="S2" s="491"/>
      <c r="T2" s="491"/>
      <c r="U2" s="491"/>
      <c r="V2" s="491"/>
      <c r="W2" s="491"/>
      <c r="X2" s="491"/>
      <c r="Y2" s="491"/>
      <c r="Z2" s="491"/>
      <c r="AA2" s="491"/>
      <c r="AB2" s="491"/>
      <c r="AC2" s="491"/>
      <c r="AD2" s="491"/>
      <c r="AE2" s="491"/>
      <c r="AF2" s="491"/>
      <c r="AG2" s="492"/>
    </row>
    <row r="3" spans="1:33" ht="15.75" customHeight="1">
      <c r="A3" s="229"/>
      <c r="C3" s="640" t="s">
        <v>35</v>
      </c>
      <c r="D3" s="641"/>
      <c r="E3" s="640" t="s">
        <v>99</v>
      </c>
      <c r="F3" s="641"/>
      <c r="G3" s="640" t="s">
        <v>237</v>
      </c>
      <c r="H3" s="641"/>
      <c r="I3" s="640" t="s">
        <v>192</v>
      </c>
      <c r="J3" s="641"/>
      <c r="K3" s="640" t="s">
        <v>173</v>
      </c>
      <c r="L3" s="641"/>
      <c r="M3" s="640" t="s">
        <v>158</v>
      </c>
      <c r="N3" s="641"/>
      <c r="O3" s="642" t="s">
        <v>36</v>
      </c>
      <c r="P3" s="643"/>
      <c r="R3" s="670" t="s">
        <v>138</v>
      </c>
      <c r="S3" s="671"/>
      <c r="T3" s="110"/>
      <c r="U3" s="24" t="s">
        <v>37</v>
      </c>
      <c r="V3" s="631" t="s">
        <v>13</v>
      </c>
      <c r="W3" s="632"/>
      <c r="X3" s="632"/>
      <c r="Y3" s="632"/>
      <c r="Z3" s="632"/>
      <c r="AA3" s="632"/>
      <c r="AB3" s="632"/>
      <c r="AC3" s="632"/>
      <c r="AD3" s="632"/>
      <c r="AE3" s="632"/>
      <c r="AF3" s="633"/>
      <c r="AG3" s="324"/>
    </row>
    <row r="4" spans="1:33" ht="20.25" customHeight="1">
      <c r="A4" s="216" t="s">
        <v>40</v>
      </c>
      <c r="B4" s="5" t="s">
        <v>41</v>
      </c>
      <c r="C4" s="77">
        <f>(S4)/2</f>
        <v>20405.59</v>
      </c>
      <c r="E4" s="77">
        <f>(S4)/2+5464.29</f>
        <v>25869.88</v>
      </c>
      <c r="G4" s="77">
        <f>886.15+2570.74</f>
        <v>3456.89</v>
      </c>
      <c r="I4" s="77">
        <f>6508.45</f>
        <v>6508.45</v>
      </c>
      <c r="K4" s="77">
        <f>10508.3+360+17200</f>
        <v>28068.3</v>
      </c>
      <c r="M4" s="77">
        <f>1720.14+619+1500</f>
        <v>3839.1400000000003</v>
      </c>
      <c r="O4" s="142">
        <f>E4+C4+G4+I4+K4+M4</f>
        <v>88148.25</v>
      </c>
      <c r="P4" s="80"/>
      <c r="R4" s="349" t="s">
        <v>64</v>
      </c>
      <c r="S4" s="502">
        <f>40811.18</f>
        <v>40811.18</v>
      </c>
      <c r="T4" s="110"/>
      <c r="U4" s="27" t="s">
        <v>42</v>
      </c>
      <c r="V4" s="188" t="s">
        <v>310</v>
      </c>
      <c r="W4" s="160" t="s">
        <v>302</v>
      </c>
      <c r="X4" s="188" t="s">
        <v>229</v>
      </c>
      <c r="Y4" s="487" t="s">
        <v>303</v>
      </c>
      <c r="Z4" s="160" t="s">
        <v>238</v>
      </c>
      <c r="AA4" s="160" t="s">
        <v>239</v>
      </c>
      <c r="AB4" s="160" t="s">
        <v>240</v>
      </c>
      <c r="AC4" s="160" t="s">
        <v>311</v>
      </c>
      <c r="AD4" s="29" t="s">
        <v>312</v>
      </c>
      <c r="AE4" s="29" t="s">
        <v>245</v>
      </c>
      <c r="AF4" s="29"/>
      <c r="AG4" s="682" t="s">
        <v>49</v>
      </c>
    </row>
    <row r="5" spans="1:33">
      <c r="A5" s="216" t="s">
        <v>51</v>
      </c>
      <c r="B5" s="5" t="s">
        <v>52</v>
      </c>
      <c r="C5" s="161">
        <f>C6+C7+C8+C9+C10+C11+C13+C14+C17+C15+C12</f>
        <v>17675.342269054399</v>
      </c>
      <c r="D5" s="5"/>
      <c r="E5" s="161">
        <f>E6+E7+E8+E9+E10+E11+E13+E14+E17+E15+E12</f>
        <v>22444.995605559998</v>
      </c>
      <c r="F5" s="5"/>
      <c r="G5" s="161">
        <f>G6+G7+G8+G9+G10+G11+G13+G14+G17+G15+G12</f>
        <v>6765.9834387239989</v>
      </c>
      <c r="H5" s="5"/>
      <c r="I5" s="161">
        <f>I6+I7+I8+I9+I10+I11+I13+I14+I17+I15+I12</f>
        <v>2621.712051896</v>
      </c>
      <c r="J5" s="5"/>
      <c r="K5" s="161">
        <f>K6+K7+K8+K9+K10+K11+K13+K14+K17+K15+K12</f>
        <v>10464.101000000002</v>
      </c>
      <c r="L5" s="5"/>
      <c r="M5" s="161">
        <f>M6+M7+M8+M9+M10+M11+M13+M14+M17+M15+M12</f>
        <v>14470.459800000001</v>
      </c>
      <c r="N5" s="5"/>
      <c r="O5" s="142">
        <f t="shared" ref="O5:O18" si="0">E5+C5+G5+I5+K5+M5</f>
        <v>74442.594165234404</v>
      </c>
      <c r="P5" s="81"/>
      <c r="R5" s="399" t="s">
        <v>67</v>
      </c>
      <c r="S5" s="507">
        <f>5464.29+2570.74+886.15+6508.45+10508.3+360+17200+1500+619+1720.14</f>
        <v>47337.07</v>
      </c>
      <c r="U5" s="32"/>
      <c r="V5" s="74">
        <v>1</v>
      </c>
      <c r="W5" s="74">
        <v>2</v>
      </c>
      <c r="X5" s="74">
        <v>3</v>
      </c>
      <c r="Y5" s="74">
        <v>4</v>
      </c>
      <c r="Z5" s="74">
        <v>5</v>
      </c>
      <c r="AA5" s="74">
        <v>6</v>
      </c>
      <c r="AB5" s="33">
        <v>7</v>
      </c>
      <c r="AC5" s="33">
        <v>8</v>
      </c>
      <c r="AD5" s="33">
        <v>9</v>
      </c>
      <c r="AE5" s="33">
        <v>10</v>
      </c>
      <c r="AF5" s="33">
        <v>11</v>
      </c>
      <c r="AG5" s="683"/>
    </row>
    <row r="6" spans="1:33">
      <c r="A6" s="217" t="s">
        <v>54</v>
      </c>
      <c r="B6" s="75" t="s">
        <v>55</v>
      </c>
      <c r="C6" s="127">
        <f>496.38+107.43+459.91+48.99+86.38+10.63+1288.6+7.36+239.27+179.39+200.35+402.3+222.5+3549.27+224.81+1137.7</f>
        <v>8661.27</v>
      </c>
      <c r="D6" s="13">
        <f>C6+C7+C8</f>
        <v>8877.3700000000008</v>
      </c>
      <c r="E6" s="147">
        <f>78.03+53.16</f>
        <v>131.19</v>
      </c>
      <c r="F6" s="83">
        <f>E6+E7+E8</f>
        <v>19945.939999999999</v>
      </c>
      <c r="G6" s="127">
        <f>742.45+19.59+82.3+1135+221.67+54.16+49.91+42.54+158.68</f>
        <v>2506.2999999999997</v>
      </c>
      <c r="H6" s="83">
        <f>G6+G7+G8</f>
        <v>2702.4399999999996</v>
      </c>
      <c r="I6" s="127"/>
      <c r="J6" s="83">
        <f>I6+I7+I8</f>
        <v>1838.4099999999999</v>
      </c>
      <c r="K6" s="127">
        <v>66.92</v>
      </c>
      <c r="L6" s="83">
        <f>K6+K7+K8</f>
        <v>8347.0400000000009</v>
      </c>
      <c r="M6" s="127">
        <f>654.31+21.84+113.06</f>
        <v>789.21</v>
      </c>
      <c r="N6" s="83">
        <f>M6+M7+M8</f>
        <v>14201.720000000001</v>
      </c>
      <c r="O6" s="142">
        <f t="shared" si="0"/>
        <v>12154.89</v>
      </c>
      <c r="P6" s="84">
        <f>O6+O7+O8</f>
        <v>55912.92</v>
      </c>
      <c r="R6" s="351" t="s">
        <v>71</v>
      </c>
      <c r="S6" s="352"/>
      <c r="U6" s="39"/>
      <c r="V6" s="40">
        <v>70</v>
      </c>
      <c r="W6" s="40">
        <f>V6</f>
        <v>70</v>
      </c>
      <c r="X6" s="40">
        <f>V6</f>
        <v>70</v>
      </c>
      <c r="Y6" s="40">
        <f>V6</f>
        <v>70</v>
      </c>
      <c r="Z6" s="40">
        <f>V6</f>
        <v>70</v>
      </c>
      <c r="AA6" s="40">
        <f>V6</f>
        <v>70</v>
      </c>
      <c r="AB6" s="41">
        <f>V6</f>
        <v>70</v>
      </c>
      <c r="AC6" s="41">
        <f>V6</f>
        <v>70</v>
      </c>
      <c r="AD6" s="41"/>
      <c r="AE6" s="41"/>
      <c r="AF6" s="41"/>
      <c r="AG6" s="397">
        <f>SUM(V6:AF6)</f>
        <v>560</v>
      </c>
    </row>
    <row r="7" spans="1:33">
      <c r="A7" s="219" t="s">
        <v>56</v>
      </c>
      <c r="B7" s="86" t="s">
        <v>57</v>
      </c>
      <c r="C7" s="126"/>
      <c r="D7" s="13"/>
      <c r="E7" s="133"/>
      <c r="F7" s="83"/>
      <c r="G7" s="20"/>
      <c r="H7" s="83"/>
      <c r="I7" s="20"/>
      <c r="J7" s="83"/>
      <c r="K7" s="20"/>
      <c r="L7" s="83"/>
      <c r="M7" s="20"/>
      <c r="N7" s="83"/>
      <c r="O7" s="142">
        <f t="shared" si="0"/>
        <v>0</v>
      </c>
      <c r="P7" s="84"/>
      <c r="R7" s="353" t="s">
        <v>74</v>
      </c>
      <c r="S7" s="354" t="s">
        <v>75</v>
      </c>
      <c r="U7" s="48"/>
      <c r="V7" s="49">
        <f>27.5+14.2+15.5+11+10.72+38+39.28</f>
        <v>156.19999999999999</v>
      </c>
      <c r="W7" s="50">
        <f>37.08+30.97+38.37+39.97</f>
        <v>146.38999999999999</v>
      </c>
      <c r="X7" s="50">
        <f>8.63+8.82</f>
        <v>17.450000000000003</v>
      </c>
      <c r="Y7" s="50"/>
      <c r="Z7" s="50"/>
      <c r="AA7" s="50">
        <v>26.5</v>
      </c>
      <c r="AB7" s="51"/>
      <c r="AC7" s="51"/>
      <c r="AD7" s="51">
        <v>117</v>
      </c>
      <c r="AE7" s="51">
        <v>72.72</v>
      </c>
      <c r="AF7" s="51">
        <f>9.1*2</f>
        <v>18.2</v>
      </c>
      <c r="AG7" s="493">
        <f t="shared" ref="AG7" si="1">V7+W7+X7+Y7+Z7+AA7+AF7+AB7+AC7+AD7+AE7</f>
        <v>554.45999999999992</v>
      </c>
    </row>
    <row r="8" spans="1:33">
      <c r="A8" s="220" t="s">
        <v>58</v>
      </c>
      <c r="B8" s="76" t="s">
        <v>59</v>
      </c>
      <c r="C8" s="18">
        <f>138.76+77.34</f>
        <v>216.1</v>
      </c>
      <c r="D8" s="14"/>
      <c r="E8" s="14">
        <f>4460.39+11235.99+1668.37+2450</f>
        <v>19814.75</v>
      </c>
      <c r="F8" s="88"/>
      <c r="G8" s="18">
        <f>15.92+180.22</f>
        <v>196.14</v>
      </c>
      <c r="H8" s="88"/>
      <c r="I8" s="18">
        <f>193+963.14+177.22+505.05</f>
        <v>1838.4099999999999</v>
      </c>
      <c r="J8" s="88"/>
      <c r="K8" s="18">
        <f>73+120.53+106.26+62.6+6502.74+800+470+144.99</f>
        <v>8280.1200000000008</v>
      </c>
      <c r="L8" s="88"/>
      <c r="M8" s="18">
        <f>170+11934.67+654.31+653.53</f>
        <v>13412.51</v>
      </c>
      <c r="N8" s="88"/>
      <c r="O8" s="142">
        <f t="shared" si="0"/>
        <v>43758.03</v>
      </c>
      <c r="P8" s="89"/>
      <c r="R8" s="355" t="s">
        <v>78</v>
      </c>
      <c r="S8" s="465">
        <v>13</v>
      </c>
      <c r="AG8" s="221"/>
    </row>
    <row r="9" spans="1:33">
      <c r="A9" s="217" t="s">
        <v>60</v>
      </c>
      <c r="B9" s="75" t="s">
        <v>61</v>
      </c>
      <c r="C9" s="257">
        <f>(25.25*10+9.25*12+76.58*12+244.46*10)*1.42</f>
        <v>5292.4251999999997</v>
      </c>
      <c r="D9" s="141">
        <f>C9+C10+C11+C13+C12</f>
        <v>8492.5722690543989</v>
      </c>
      <c r="E9" s="148">
        <f>(9*11+17.5*9)*1.42</f>
        <v>364.22999999999996</v>
      </c>
      <c r="F9" s="128">
        <f>E9+E10+E11+E13+E12</f>
        <v>2297.05560556</v>
      </c>
      <c r="G9" s="257">
        <f>(166.23*10+23.55*11)*1.42</f>
        <v>2728.3169999999996</v>
      </c>
      <c r="H9" s="128">
        <f>G9+G10+G11+G13+G12</f>
        <v>3883.6634387239992</v>
      </c>
      <c r="I9" s="257">
        <f>(9.1*10+9.1*9)*1.42</f>
        <v>245.51799999999994</v>
      </c>
      <c r="J9" s="128">
        <f>I9+I10+I11+I13+I12</f>
        <v>783.30205189599997</v>
      </c>
      <c r="K9" s="257"/>
      <c r="L9" s="128">
        <f>K9+K10+K11+K13+K12</f>
        <v>1964.7810000000002</v>
      </c>
      <c r="M9" s="257"/>
      <c r="N9" s="128">
        <f>M9+M10+M11+M13+M12</f>
        <v>268.73980000000006</v>
      </c>
      <c r="O9" s="142">
        <f t="shared" si="0"/>
        <v>8630.4901999999984</v>
      </c>
      <c r="P9" s="90">
        <f>O9+O10+O11+O13+O12</f>
        <v>17690.114165234401</v>
      </c>
      <c r="R9" s="357" t="s">
        <v>81</v>
      </c>
      <c r="S9" s="358">
        <v>12</v>
      </c>
      <c r="AG9" s="221"/>
    </row>
    <row r="10" spans="1:33">
      <c r="A10" s="219" t="s">
        <v>62</v>
      </c>
      <c r="B10" s="86" t="s">
        <v>63</v>
      </c>
      <c r="C10" s="126">
        <f>C9*0.2359</f>
        <v>1248.48310468</v>
      </c>
      <c r="D10" s="13"/>
      <c r="E10" s="145">
        <f>E9*0.2359</f>
        <v>85.921856999999989</v>
      </c>
      <c r="F10" s="83"/>
      <c r="G10" s="126">
        <f>G9*0.2359</f>
        <v>643.60998029999985</v>
      </c>
      <c r="H10" s="83"/>
      <c r="I10" s="126">
        <f>I9*0.2359</f>
        <v>57.917696199999988</v>
      </c>
      <c r="J10" s="83"/>
      <c r="K10" s="126">
        <f>K9*0.2359</f>
        <v>0</v>
      </c>
      <c r="L10" s="83"/>
      <c r="M10" s="126">
        <f>M9*0.2359</f>
        <v>0</v>
      </c>
      <c r="N10" s="83"/>
      <c r="O10" s="142">
        <f t="shared" si="0"/>
        <v>2035.9326381799999</v>
      </c>
      <c r="P10" s="89"/>
      <c r="AG10" s="221"/>
    </row>
    <row r="11" spans="1:33">
      <c r="A11" s="219" t="s">
        <v>65</v>
      </c>
      <c r="B11" s="86" t="s">
        <v>66</v>
      </c>
      <c r="C11" s="126">
        <f>(C9+C10)*0.08</f>
        <v>523.27266437439994</v>
      </c>
      <c r="D11" s="13"/>
      <c r="E11" s="145">
        <f>(E9+E10)*0.08</f>
        <v>36.01214856</v>
      </c>
      <c r="F11" s="83"/>
      <c r="G11" s="126">
        <f>(G9+G10)*0.08</f>
        <v>269.75415842399997</v>
      </c>
      <c r="H11" s="83"/>
      <c r="I11" s="126">
        <f>(I9+I10)*0.08</f>
        <v>24.274855695999996</v>
      </c>
      <c r="J11" s="83"/>
      <c r="K11" s="126">
        <f>(K9+K10)*0.08</f>
        <v>0</v>
      </c>
      <c r="L11" s="83"/>
      <c r="M11" s="126">
        <f>(M9+M10)*0.08</f>
        <v>0</v>
      </c>
      <c r="N11" s="83"/>
      <c r="O11" s="142">
        <f t="shared" si="0"/>
        <v>853.31382705440001</v>
      </c>
      <c r="P11" s="89"/>
      <c r="R11" s="674" t="s">
        <v>85</v>
      </c>
      <c r="S11" s="675"/>
      <c r="AG11" s="221"/>
    </row>
    <row r="12" spans="1:33">
      <c r="A12" s="222" t="s">
        <v>68</v>
      </c>
      <c r="B12" s="92" t="s">
        <v>21</v>
      </c>
      <c r="C12" s="127">
        <f>(C4)*0.07</f>
        <v>1428.3913000000002</v>
      </c>
      <c r="D12" s="127"/>
      <c r="E12" s="127">
        <f t="shared" ref="E12:G12" si="2">(E4)*0.07</f>
        <v>1810.8916000000002</v>
      </c>
      <c r="F12" s="123"/>
      <c r="G12" s="127">
        <f t="shared" si="2"/>
        <v>241.98230000000001</v>
      </c>
      <c r="H12" s="123"/>
      <c r="I12" s="127">
        <f t="shared" ref="I12:J12" si="3">(I4)*0.07</f>
        <v>455.59150000000005</v>
      </c>
      <c r="J12" s="123"/>
      <c r="K12" s="127">
        <f t="shared" ref="K12:L12" si="4">(K4)*0.07</f>
        <v>1964.7810000000002</v>
      </c>
      <c r="L12" s="123"/>
      <c r="M12" s="127">
        <f t="shared" ref="M12:N12" si="5">(M4)*0.07</f>
        <v>268.73980000000006</v>
      </c>
      <c r="N12" s="123"/>
      <c r="O12" s="142">
        <f t="shared" si="0"/>
        <v>6170.3775000000005</v>
      </c>
      <c r="P12" s="89"/>
      <c r="R12" s="359" t="s">
        <v>50</v>
      </c>
      <c r="S12" s="360">
        <f>2498.17</f>
        <v>2498.17</v>
      </c>
      <c r="AG12" s="221"/>
    </row>
    <row r="13" spans="1:33">
      <c r="A13" s="219" t="s">
        <v>69</v>
      </c>
      <c r="B13" s="86" t="s">
        <v>70</v>
      </c>
      <c r="C13" s="130"/>
      <c r="D13" s="134"/>
      <c r="E13" s="150"/>
      <c r="F13" s="125"/>
      <c r="G13" s="130"/>
      <c r="H13" s="125"/>
      <c r="I13" s="130"/>
      <c r="J13" s="125"/>
      <c r="K13" s="130"/>
      <c r="L13" s="125"/>
      <c r="M13" s="130"/>
      <c r="N13" s="125"/>
      <c r="O13" s="142">
        <f t="shared" si="0"/>
        <v>0</v>
      </c>
      <c r="P13" s="93"/>
      <c r="R13" s="361" t="s">
        <v>53</v>
      </c>
      <c r="S13" s="362">
        <f>O6+O7</f>
        <v>12154.89</v>
      </c>
      <c r="AG13" s="221"/>
    </row>
    <row r="14" spans="1:33">
      <c r="A14" s="223" t="s">
        <v>72</v>
      </c>
      <c r="B14" s="75" t="s">
        <v>73</v>
      </c>
      <c r="C14" s="20"/>
      <c r="D14" s="13">
        <f>C14+C17+C15</f>
        <v>305.39999999999998</v>
      </c>
      <c r="E14" s="147"/>
      <c r="F14" s="131">
        <f>E14+E17+E15</f>
        <v>202</v>
      </c>
      <c r="G14" s="127"/>
      <c r="H14" s="131">
        <f>G14+G17+G15</f>
        <v>179.88</v>
      </c>
      <c r="I14" s="127"/>
      <c r="J14" s="131">
        <f>I14+I17+I15</f>
        <v>0</v>
      </c>
      <c r="K14" s="127"/>
      <c r="L14" s="131">
        <f>K14+K17+K15</f>
        <v>152.28</v>
      </c>
      <c r="M14" s="127"/>
      <c r="N14" s="131">
        <f>M14+M17+M15</f>
        <v>0</v>
      </c>
      <c r="O14" s="142">
        <f t="shared" si="0"/>
        <v>0</v>
      </c>
      <c r="P14" s="89">
        <f>O14+O17+O15+O18</f>
        <v>839.56</v>
      </c>
      <c r="AG14" s="221"/>
    </row>
    <row r="15" spans="1:33">
      <c r="A15" s="224" t="s">
        <v>76</v>
      </c>
      <c r="B15" s="86" t="s">
        <v>77</v>
      </c>
      <c r="C15" s="127"/>
      <c r="D15" s="13"/>
      <c r="E15" s="133"/>
      <c r="F15" s="83"/>
      <c r="G15" s="20"/>
      <c r="H15" s="83"/>
      <c r="I15" s="20"/>
      <c r="J15" s="83"/>
      <c r="K15" s="20"/>
      <c r="L15" s="83"/>
      <c r="M15" s="20"/>
      <c r="N15" s="83"/>
      <c r="O15" s="142">
        <f t="shared" si="0"/>
        <v>0</v>
      </c>
      <c r="P15" s="89"/>
      <c r="R15" s="651" t="s">
        <v>89</v>
      </c>
      <c r="S15" s="652"/>
      <c r="AG15" s="221"/>
    </row>
    <row r="16" spans="1:33">
      <c r="A16" s="224" t="s">
        <v>139</v>
      </c>
      <c r="B16" s="86" t="s">
        <v>140</v>
      </c>
      <c r="C16" s="126"/>
      <c r="D16" s="13"/>
      <c r="E16" s="252"/>
      <c r="F16" s="83"/>
      <c r="G16" s="552"/>
      <c r="H16" s="13"/>
      <c r="I16" s="552"/>
      <c r="J16" s="13"/>
      <c r="K16" s="552"/>
      <c r="L16" s="13"/>
      <c r="M16" s="552"/>
      <c r="N16" s="13"/>
      <c r="O16" s="142">
        <f t="shared" si="0"/>
        <v>0</v>
      </c>
      <c r="P16" s="1"/>
      <c r="Q16" s="229"/>
      <c r="R16" s="359" t="s">
        <v>50</v>
      </c>
      <c r="S16" s="360">
        <v>3314.86</v>
      </c>
      <c r="AG16" s="221"/>
    </row>
    <row r="17" spans="1:33">
      <c r="A17" s="219" t="s">
        <v>79</v>
      </c>
      <c r="B17" s="86" t="s">
        <v>80</v>
      </c>
      <c r="C17" s="126">
        <f>125+90+90.4</f>
        <v>305.39999999999998</v>
      </c>
      <c r="D17" s="13"/>
      <c r="E17" s="145">
        <f>2+200</f>
        <v>202</v>
      </c>
      <c r="F17" s="83"/>
      <c r="G17" s="126">
        <f>76.79+6.8+3+93.29</f>
        <v>179.88</v>
      </c>
      <c r="H17" s="83"/>
      <c r="I17" s="126"/>
      <c r="J17" s="83"/>
      <c r="K17" s="126">
        <v>152.28</v>
      </c>
      <c r="L17" s="83"/>
      <c r="M17" s="259"/>
      <c r="N17" s="83"/>
      <c r="O17" s="142">
        <f t="shared" si="0"/>
        <v>839.56</v>
      </c>
      <c r="P17" s="89"/>
      <c r="R17" s="363" t="s">
        <v>53</v>
      </c>
      <c r="S17" s="364">
        <f>P9-O12</f>
        <v>11519.736665234401</v>
      </c>
      <c r="AG17" s="221"/>
    </row>
    <row r="18" spans="1:33">
      <c r="A18" s="219"/>
      <c r="B18" s="86"/>
      <c r="C18" s="126"/>
      <c r="D18" s="83"/>
      <c r="E18" s="126"/>
      <c r="F18" s="83"/>
      <c r="G18" s="126"/>
      <c r="H18" s="83"/>
      <c r="I18" s="126"/>
      <c r="J18" s="83"/>
      <c r="K18" s="126"/>
      <c r="L18" s="83"/>
      <c r="M18" s="126"/>
      <c r="N18" s="83"/>
      <c r="O18" s="142">
        <f t="shared" si="0"/>
        <v>0</v>
      </c>
      <c r="P18" s="89"/>
      <c r="R18" s="511" t="s">
        <v>141</v>
      </c>
      <c r="S18" s="512">
        <f>S17/AF7</f>
        <v>632.95256402386815</v>
      </c>
      <c r="AG18" s="221"/>
    </row>
    <row r="19" spans="1:33">
      <c r="A19" s="216" t="s">
        <v>82</v>
      </c>
      <c r="B19" s="5" t="s">
        <v>83</v>
      </c>
      <c r="C19" s="157">
        <f>C4-C5</f>
        <v>2730.2477309456008</v>
      </c>
      <c r="D19" s="121">
        <f>C19/C4</f>
        <v>0.13379900953344651</v>
      </c>
      <c r="E19" s="157">
        <f>E4-E5</f>
        <v>3424.8843944400032</v>
      </c>
      <c r="F19" s="122">
        <f>E19/E4</f>
        <v>0.13238887828006946</v>
      </c>
      <c r="G19" s="157">
        <f>G4-G5</f>
        <v>-3309.093438723999</v>
      </c>
      <c r="H19" s="122">
        <f>G19/G4</f>
        <v>-0.95724580149324945</v>
      </c>
      <c r="I19" s="157">
        <f>I4-I5</f>
        <v>3886.7379481039998</v>
      </c>
      <c r="J19" s="122">
        <f>I19/I4</f>
        <v>0.59718334597392619</v>
      </c>
      <c r="K19" s="157">
        <f>K4-K5</f>
        <v>17604.198999999997</v>
      </c>
      <c r="L19" s="122">
        <f>K19/K4</f>
        <v>0.62719149360666648</v>
      </c>
      <c r="M19" s="157">
        <f>M4-M5</f>
        <v>-10631.319800000001</v>
      </c>
      <c r="N19" s="122">
        <f>M19/M4</f>
        <v>-2.7691930484431411</v>
      </c>
      <c r="O19" s="15">
        <f>O4-O5</f>
        <v>13705.655834765596</v>
      </c>
      <c r="P19" s="96">
        <f>O19/O4</f>
        <v>0.15548415124254419</v>
      </c>
      <c r="AG19" s="221"/>
    </row>
    <row r="20" spans="1:33">
      <c r="A20" s="393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339"/>
      <c r="J20" s="339"/>
      <c r="K20" s="339"/>
      <c r="L20" s="339"/>
      <c r="M20" s="339"/>
      <c r="N20" s="339"/>
      <c r="O20" s="494">
        <f>S4-6996.18-10000</f>
        <v>23815</v>
      </c>
      <c r="P20" s="184">
        <f>O20/S4</f>
        <v>0.58354107869461258</v>
      </c>
      <c r="R20" s="373" t="s">
        <v>100</v>
      </c>
      <c r="S20" s="374"/>
      <c r="AG20" s="221"/>
    </row>
    <row r="21" spans="1:33" ht="20.25" customHeight="1">
      <c r="A21" s="225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P21" s="99"/>
      <c r="R21" s="367" t="s">
        <v>50</v>
      </c>
      <c r="S21" s="368" t="e">
        <f>AF6/S6</f>
        <v>#DIV/0!</v>
      </c>
      <c r="U21" s="24" t="s">
        <v>37</v>
      </c>
      <c r="V21" s="631" t="s">
        <v>90</v>
      </c>
      <c r="W21" s="632"/>
      <c r="X21" s="632"/>
      <c r="Y21" s="632"/>
      <c r="Z21" s="632"/>
      <c r="AA21" s="632"/>
      <c r="AB21" s="632"/>
      <c r="AC21" s="632"/>
      <c r="AD21" s="632"/>
      <c r="AE21" s="632"/>
      <c r="AF21" s="633"/>
      <c r="AG21" s="324"/>
    </row>
    <row r="22" spans="1:33" ht="24" customHeight="1">
      <c r="A22" s="395" t="s">
        <v>86</v>
      </c>
      <c r="B22" s="412" t="s">
        <v>144</v>
      </c>
      <c r="C22" s="445" t="s">
        <v>145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P22" s="99"/>
      <c r="R22" s="369" t="s">
        <v>53</v>
      </c>
      <c r="S22" s="370" t="e">
        <f>AF7/S6</f>
        <v>#DIV/0!</v>
      </c>
      <c r="U22" s="27" t="s">
        <v>42</v>
      </c>
      <c r="V22" s="28" t="s">
        <v>310</v>
      </c>
      <c r="W22" s="29" t="s">
        <v>302</v>
      </c>
      <c r="X22" s="28" t="s">
        <v>229</v>
      </c>
      <c r="Y22" s="154" t="s">
        <v>303</v>
      </c>
      <c r="Z22" s="29" t="s">
        <v>238</v>
      </c>
      <c r="AA22" s="29" t="s">
        <v>239</v>
      </c>
      <c r="AB22" s="29" t="s">
        <v>240</v>
      </c>
      <c r="AC22" s="29" t="s">
        <v>311</v>
      </c>
      <c r="AD22" s="28" t="str">
        <f>AD4</f>
        <v>14/06-23/06</v>
      </c>
      <c r="AE22" s="29" t="s">
        <v>245</v>
      </c>
      <c r="AF22" s="28"/>
      <c r="AG22" s="684" t="s">
        <v>49</v>
      </c>
    </row>
    <row r="23" spans="1:33">
      <c r="A23" s="226" t="s">
        <v>88</v>
      </c>
      <c r="B23" s="449">
        <f>P6/O5</f>
        <v>0.75108774253479749</v>
      </c>
      <c r="C23" s="410">
        <f>2498.17/6996.18</f>
        <v>0.35707629020408277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P23" s="99"/>
      <c r="R23" s="365" t="s">
        <v>146</v>
      </c>
      <c r="S23" s="366" t="e">
        <f>S22*S18</f>
        <v>#DIV/0!</v>
      </c>
      <c r="U23" s="27"/>
      <c r="V23" s="66">
        <v>1</v>
      </c>
      <c r="W23" s="66">
        <v>2</v>
      </c>
      <c r="X23" s="66">
        <v>3</v>
      </c>
      <c r="Y23" s="66">
        <v>4</v>
      </c>
      <c r="Z23" s="66">
        <v>5</v>
      </c>
      <c r="AA23" s="66">
        <v>6</v>
      </c>
      <c r="AB23" s="66">
        <v>7</v>
      </c>
      <c r="AC23" s="66">
        <v>8</v>
      </c>
      <c r="AD23" s="66">
        <v>9</v>
      </c>
      <c r="AE23" s="66">
        <v>10</v>
      </c>
      <c r="AF23" s="66">
        <v>11</v>
      </c>
      <c r="AG23" s="685"/>
    </row>
    <row r="24" spans="1:33">
      <c r="A24" s="227" t="s">
        <v>89</v>
      </c>
      <c r="B24" s="449">
        <f>P9/O5</f>
        <v>0.23763430551559014</v>
      </c>
      <c r="C24" s="410">
        <f>3314.86/6996.18</f>
        <v>0.47380999345357039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P24" s="99"/>
      <c r="U24" s="68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326">
        <v>0</v>
      </c>
    </row>
    <row r="25" spans="1:33">
      <c r="A25" s="489" t="s">
        <v>91</v>
      </c>
      <c r="B25" s="484">
        <f>P14/O5</f>
        <v>1.1277951949612265E-2</v>
      </c>
      <c r="C25" s="381">
        <f>1183.16/6996.18</f>
        <v>0.16911514569379291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P25" s="99"/>
      <c r="R25" s="371" t="s">
        <v>90</v>
      </c>
      <c r="S25" s="372"/>
      <c r="U25" s="68"/>
      <c r="V25" s="71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436">
        <f>Y25+X25+W25+V25</f>
        <v>0</v>
      </c>
    </row>
    <row r="26" spans="1:33">
      <c r="A26" s="229"/>
      <c r="P26" s="99"/>
      <c r="R26" s="359" t="s">
        <v>50</v>
      </c>
      <c r="S26" s="360">
        <f>AF26</f>
        <v>0</v>
      </c>
      <c r="AG26" s="221"/>
    </row>
    <row r="27" spans="1:33">
      <c r="A27" s="229"/>
      <c r="P27" s="99"/>
      <c r="R27" s="363" t="s">
        <v>53</v>
      </c>
      <c r="S27" s="364">
        <f>AF27</f>
        <v>0</v>
      </c>
      <c r="AG27" s="221"/>
    </row>
    <row r="28" spans="1:33" ht="30.75">
      <c r="A28" s="229"/>
      <c r="P28" s="99"/>
      <c r="R28" s="490" t="s">
        <v>147</v>
      </c>
      <c r="S28" s="366">
        <f>S27/AF7</f>
        <v>0</v>
      </c>
      <c r="AG28" s="221"/>
    </row>
    <row r="29" spans="1:33">
      <c r="A29" s="229"/>
      <c r="P29" s="99"/>
      <c r="AG29" s="221"/>
    </row>
    <row r="30" spans="1:33">
      <c r="A30" s="229"/>
      <c r="P30" s="99"/>
      <c r="R30" s="189" t="s">
        <v>92</v>
      </c>
      <c r="S30" s="136"/>
      <c r="AG30" s="221"/>
    </row>
    <row r="31" spans="1:33" ht="30.75">
      <c r="A31" s="229"/>
      <c r="P31" s="99"/>
      <c r="R31" s="10" t="s">
        <v>93</v>
      </c>
      <c r="S31" s="136"/>
      <c r="AG31" s="221"/>
    </row>
    <row r="32" spans="1:33">
      <c r="A32" s="229"/>
      <c r="P32" s="99"/>
      <c r="AG32" s="221"/>
    </row>
    <row r="33" spans="1:33">
      <c r="A33" s="229"/>
      <c r="P33" s="99"/>
      <c r="R33" s="673" t="s">
        <v>94</v>
      </c>
      <c r="S33" s="673"/>
      <c r="AG33" s="221"/>
    </row>
    <row r="34" spans="1:33">
      <c r="A34" s="229"/>
      <c r="R34" s="672">
        <v>45555</v>
      </c>
      <c r="S34" s="672"/>
      <c r="AG34" s="221"/>
    </row>
    <row r="35" spans="1:33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2"/>
    </row>
    <row r="38" spans="1:33">
      <c r="Q38" s="1"/>
    </row>
    <row r="43" spans="1:33">
      <c r="A43" s="88"/>
      <c r="B43" s="485"/>
      <c r="C43" s="88"/>
    </row>
    <row r="44" spans="1:33">
      <c r="A44" s="88"/>
      <c r="B44" s="88"/>
      <c r="C44" s="88"/>
    </row>
    <row r="45" spans="1:33">
      <c r="A45" s="88"/>
      <c r="B45" s="488"/>
      <c r="C45" s="88"/>
    </row>
    <row r="46" spans="1:33">
      <c r="A46" s="88"/>
      <c r="B46" s="88"/>
      <c r="C46" s="88"/>
    </row>
    <row r="47" spans="1:33">
      <c r="A47" s="88"/>
      <c r="B47" s="88"/>
      <c r="C47" s="88"/>
    </row>
    <row r="48" spans="1:33">
      <c r="A48" s="88"/>
      <c r="B48" s="88"/>
      <c r="C48" s="88"/>
    </row>
    <row r="49" spans="1:3">
      <c r="A49" s="88"/>
      <c r="B49" s="88"/>
      <c r="C49" s="88"/>
    </row>
    <row r="50" spans="1:3">
      <c r="A50" s="88"/>
      <c r="B50" s="88"/>
      <c r="C50" s="88"/>
    </row>
  </sheetData>
  <mergeCells count="18">
    <mergeCell ref="AG22:AG23"/>
    <mergeCell ref="R33:S33"/>
    <mergeCell ref="R34:S34"/>
    <mergeCell ref="AG4:AG5"/>
    <mergeCell ref="V21:AF21"/>
    <mergeCell ref="R11:S11"/>
    <mergeCell ref="R15:S15"/>
    <mergeCell ref="B1:AG1"/>
    <mergeCell ref="A2:P2"/>
    <mergeCell ref="C3:D3"/>
    <mergeCell ref="E3:F3"/>
    <mergeCell ref="O3:P3"/>
    <mergeCell ref="R3:S3"/>
    <mergeCell ref="V3:AF3"/>
    <mergeCell ref="G3:H3"/>
    <mergeCell ref="I3:J3"/>
    <mergeCell ref="K3:L3"/>
    <mergeCell ref="M3:N3"/>
  </mergeCells>
  <conditionalFormatting sqref="S18">
    <cfRule type="cellIs" dxfId="50" priority="2" operator="greaterThan">
      <formula>#REF!</formula>
    </cfRule>
  </conditionalFormatting>
  <pageMargins left="0.7" right="0.7" top="0.75" bottom="0.75" header="0.3" footer="0.3"/>
  <pageSetup paperSize="9" orientation="landscape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greaterThan" id="{B474CFA3-76EA-47AB-8A16-10FB11B41885}">
            <xm:f>LEI!#REF!</xm:f>
            <x14:dxf>
              <font>
                <color rgb="FF9C0006"/>
              </font>
              <fill>
                <patternFill patternType="solid">
                  <bgColor rgb="FF92D050"/>
                </patternFill>
              </fill>
            </x14:dxf>
          </x14:cfRule>
          <xm:sqref>S13</xm:sqref>
        </x14:conditionalFormatting>
        <x14:conditionalFormatting xmlns:xm="http://schemas.microsoft.com/office/excel/2006/main">
          <x14:cfRule type="cellIs" priority="5" operator="greaterThan" id="{1E88C0F0-33B6-4801-8A45-42EBA6535184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S20</xm:sqref>
        </x14:conditionalFormatting>
        <x14:conditionalFormatting xmlns:xm="http://schemas.microsoft.com/office/excel/2006/main">
          <x14:cfRule type="cellIs" priority="4" operator="greaterThan" id="{3B19EAC7-149B-4F30-B29C-80100811DD3F}">
            <xm:f>LEI!#REF!</xm:f>
            <x14:dxf>
              <font>
                <color rgb="FFFF0000"/>
              </font>
              <fill>
                <patternFill patternType="solid">
                  <bgColor rgb="FF92D050"/>
                </patternFill>
              </fill>
            </x14:dxf>
          </x14:cfRule>
          <xm:sqref>S23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5980-0697-4306-B505-E2C25DD2E384}">
  <sheetPr>
    <pageSetUpPr fitToPage="1"/>
  </sheetPr>
  <dimension ref="A1:Y40"/>
  <sheetViews>
    <sheetView workbookViewId="0">
      <selection activeCell="C23" sqref="C23:C25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3.5703125" customWidth="1"/>
    <col min="4" max="4" width="10.71093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23.7109375" customWidth="1"/>
    <col min="11" max="11" width="18.140625" bestFit="1" customWidth="1"/>
    <col min="12" max="12" width="2.85546875" customWidth="1"/>
    <col min="13" max="17" width="8.7109375" customWidth="1"/>
    <col min="18" max="18" width="8.7109375" hidden="1" customWidth="1" outlineLevel="1"/>
    <col min="19" max="22" width="12.7109375" hidden="1" customWidth="1" outlineLevel="1"/>
    <col min="23" max="23" width="4" hidden="1" customWidth="1" outlineLevel="1"/>
    <col min="24" max="24" width="12.7109375" customWidth="1" collapsed="1"/>
    <col min="25" max="25" width="12.7109375" customWidth="1"/>
  </cols>
  <sheetData>
    <row r="1" spans="1:25" ht="25.5" customHeight="1">
      <c r="A1" s="187" t="s">
        <v>313</v>
      </c>
      <c r="B1" s="233" t="s">
        <v>314</v>
      </c>
      <c r="C1" s="722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4"/>
      <c r="V1" s="634"/>
      <c r="W1" s="634"/>
      <c r="X1" s="634"/>
    </row>
    <row r="2" spans="1:25" ht="18.75">
      <c r="A2" s="712" t="s">
        <v>30</v>
      </c>
      <c r="B2" s="656"/>
      <c r="C2" s="656"/>
      <c r="D2" s="656"/>
      <c r="E2" s="656"/>
      <c r="F2" s="656"/>
      <c r="G2" s="656"/>
      <c r="H2" s="657"/>
      <c r="I2" s="7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705"/>
    </row>
    <row r="3" spans="1:25" ht="15.75" customHeight="1">
      <c r="A3" s="78"/>
      <c r="C3" s="690" t="s">
        <v>35</v>
      </c>
      <c r="D3" s="714"/>
      <c r="E3" s="690" t="s">
        <v>237</v>
      </c>
      <c r="F3" s="714"/>
      <c r="G3" s="710" t="s">
        <v>36</v>
      </c>
      <c r="H3" s="715"/>
      <c r="J3" s="670" t="s">
        <v>138</v>
      </c>
      <c r="K3" s="671"/>
      <c r="L3" s="110"/>
      <c r="M3" s="644" t="s">
        <v>13</v>
      </c>
      <c r="N3" s="645"/>
      <c r="O3" s="645"/>
      <c r="P3" s="645"/>
      <c r="Q3" s="645"/>
      <c r="R3" s="645"/>
      <c r="S3" s="645"/>
      <c r="T3" s="645"/>
      <c r="U3" s="645"/>
      <c r="V3" s="645"/>
      <c r="W3" s="646"/>
      <c r="X3" s="111"/>
    </row>
    <row r="4" spans="1:25" ht="16.5" customHeight="1">
      <c r="A4" s="79" t="s">
        <v>40</v>
      </c>
      <c r="B4" s="5" t="s">
        <v>41</v>
      </c>
      <c r="C4" s="77">
        <f>K4</f>
        <v>72434.83</v>
      </c>
      <c r="E4" s="77">
        <f>K5</f>
        <v>14891.4</v>
      </c>
      <c r="F4" s="11"/>
      <c r="G4" s="135">
        <f>E4+C4</f>
        <v>87326.23</v>
      </c>
      <c r="H4" s="80">
        <f>D4+F4</f>
        <v>0</v>
      </c>
      <c r="J4" s="349" t="s">
        <v>64</v>
      </c>
      <c r="K4" s="350">
        <v>72434.83</v>
      </c>
      <c r="L4" s="110"/>
      <c r="M4" s="486" t="s">
        <v>310</v>
      </c>
      <c r="N4" s="160" t="s">
        <v>302</v>
      </c>
      <c r="O4" s="188" t="s">
        <v>229</v>
      </c>
      <c r="P4" s="487" t="s">
        <v>303</v>
      </c>
      <c r="Q4" s="160" t="s">
        <v>315</v>
      </c>
      <c r="R4" s="160"/>
      <c r="S4" s="29"/>
      <c r="T4" s="29"/>
      <c r="U4" s="29"/>
      <c r="V4" s="29"/>
      <c r="W4" s="29"/>
      <c r="X4" s="718" t="s">
        <v>49</v>
      </c>
    </row>
    <row r="5" spans="1:25">
      <c r="A5" s="79" t="s">
        <v>51</v>
      </c>
      <c r="B5" s="5" t="s">
        <v>52</v>
      </c>
      <c r="C5" s="161">
        <f>C6+C7+C8+C9+C10+C11+C13+C14+C17+C15+C12</f>
        <v>74676.272506499998</v>
      </c>
      <c r="D5" s="5"/>
      <c r="E5" s="161">
        <f>E6+E7+E8+E9+E10+E11+E13+E14+E17+E15+E12</f>
        <v>2893.1180000000004</v>
      </c>
      <c r="F5" s="12"/>
      <c r="G5" s="8">
        <f>G6+G7+G8+G9+G10+G11+G13+G14+G17+G15+G12+G18</f>
        <v>77569.3905065</v>
      </c>
      <c r="H5" s="81"/>
      <c r="J5" s="399" t="s">
        <v>67</v>
      </c>
      <c r="K5" s="400">
        <f>14150.8+740.6</f>
        <v>14891.4</v>
      </c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/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719"/>
    </row>
    <row r="6" spans="1:25">
      <c r="A6" s="82" t="s">
        <v>54</v>
      </c>
      <c r="B6" s="75" t="s">
        <v>55</v>
      </c>
      <c r="C6" s="126">
        <f>1158.87+70.43+918.36+2589.4+45+47.77+27.42+66.17+75+661.96+3108.41+393.73+46.3+225.55+107.25+39.95+19.98+182.6+134+178.38+15.86+70.5+9173.22+34.79+20.25+36+49.7+77+41.5+2.79+55.75+58.4+24.86+39+28+164.35+1285.3+445.1+230+35.05+42.55+78.3</f>
        <v>22104.799999999999</v>
      </c>
      <c r="D6" s="13">
        <f>C6+C7+C8</f>
        <v>44965.899999999994</v>
      </c>
      <c r="E6" s="133">
        <v>50.23</v>
      </c>
      <c r="F6" s="13">
        <f>E6+E7+E8</f>
        <v>1602.23</v>
      </c>
      <c r="G6" s="9">
        <f>C6+E6</f>
        <v>22155.03</v>
      </c>
      <c r="H6" s="84">
        <f>G6+G7+G8</f>
        <v>46568.13</v>
      </c>
      <c r="J6" s="351" t="s">
        <v>71</v>
      </c>
      <c r="K6" s="352">
        <v>110.76</v>
      </c>
      <c r="M6" s="40">
        <f>X6/5</f>
        <v>168</v>
      </c>
      <c r="N6" s="40">
        <f>M6</f>
        <v>168</v>
      </c>
      <c r="O6" s="40">
        <f>M6</f>
        <v>168</v>
      </c>
      <c r="P6" s="40">
        <f>X6/5</f>
        <v>168</v>
      </c>
      <c r="Q6" s="40">
        <f>M6</f>
        <v>168</v>
      </c>
      <c r="R6" s="40"/>
      <c r="S6" s="41"/>
      <c r="T6" s="41"/>
      <c r="U6" s="41"/>
      <c r="V6" s="41"/>
      <c r="W6" s="41"/>
      <c r="X6" s="115">
        <v>840</v>
      </c>
    </row>
    <row r="7" spans="1:25">
      <c r="A7" s="85" t="s">
        <v>56</v>
      </c>
      <c r="B7" s="86" t="s">
        <v>57</v>
      </c>
      <c r="C7" s="126">
        <f>1250+950</f>
        <v>2200</v>
      </c>
      <c r="D7" s="13"/>
      <c r="E7" s="13"/>
      <c r="F7" s="13"/>
      <c r="G7" s="9">
        <f t="shared" ref="G7:G17" si="0">C7+E7</f>
        <v>2200</v>
      </c>
      <c r="H7" s="84"/>
      <c r="J7" s="353" t="s">
        <v>74</v>
      </c>
      <c r="K7" s="354" t="s">
        <v>75</v>
      </c>
      <c r="M7" s="49">
        <f>19.77+16.03+19.78+16.12+57.28+57.12+57.35+57.3</f>
        <v>300.75</v>
      </c>
      <c r="N7" s="50">
        <f>58.23+58.12+58.13+58.15</f>
        <v>232.63</v>
      </c>
      <c r="O7" s="50">
        <f>53.07+34.65+52.38+59.12</f>
        <v>199.22</v>
      </c>
      <c r="P7" s="50">
        <f>12.7+12.72+12.65+12.65</f>
        <v>50.72</v>
      </c>
      <c r="Q7" s="50"/>
      <c r="R7" s="50"/>
      <c r="S7" s="51"/>
      <c r="T7" s="51"/>
      <c r="U7" s="51"/>
      <c r="V7" s="51"/>
      <c r="W7" s="51"/>
      <c r="X7" s="151">
        <f t="shared" ref="X7" si="1">M7+N7+O7+P7+Q7+R7+W7+S7+T7+U7+V7</f>
        <v>783.32</v>
      </c>
      <c r="Y7" s="120">
        <f>X6-X7</f>
        <v>56.67999999999995</v>
      </c>
    </row>
    <row r="8" spans="1:25">
      <c r="A8" s="87" t="s">
        <v>58</v>
      </c>
      <c r="B8" s="76" t="s">
        <v>59</v>
      </c>
      <c r="C8" s="526">
        <f>395+395+4645.9+395+48.7+395+297.52+14088.98</f>
        <v>20661.099999999999</v>
      </c>
      <c r="D8" s="14"/>
      <c r="E8" s="14">
        <f>908+644</f>
        <v>1552</v>
      </c>
      <c r="F8" s="14"/>
      <c r="G8" s="9">
        <f t="shared" si="0"/>
        <v>22213.1</v>
      </c>
      <c r="H8" s="89"/>
      <c r="J8" s="355" t="s">
        <v>78</v>
      </c>
      <c r="K8" s="465">
        <v>13</v>
      </c>
      <c r="X8" s="99"/>
    </row>
    <row r="9" spans="1:25">
      <c r="A9" s="82" t="s">
        <v>60</v>
      </c>
      <c r="B9" s="75" t="s">
        <v>61</v>
      </c>
      <c r="C9" s="257">
        <f>5443.75*1.42</f>
        <v>7730.125</v>
      </c>
      <c r="D9" s="141">
        <f>C9+C10+C11+C13+C12</f>
        <v>22048.3925065</v>
      </c>
      <c r="E9" s="540"/>
      <c r="F9" s="6">
        <f>E9+E10+E11+E13+E12</f>
        <v>1042.3980000000001</v>
      </c>
      <c r="G9" s="21">
        <f t="shared" si="0"/>
        <v>7730.125</v>
      </c>
      <c r="H9" s="90">
        <f>G9+G10+G11+G13+G12</f>
        <v>23090.790506500001</v>
      </c>
      <c r="J9" s="357" t="s">
        <v>81</v>
      </c>
      <c r="K9" s="358">
        <v>12</v>
      </c>
      <c r="X9" s="99"/>
    </row>
    <row r="10" spans="1:25">
      <c r="A10" s="85" t="s">
        <v>62</v>
      </c>
      <c r="B10" s="86" t="s">
        <v>63</v>
      </c>
      <c r="C10" s="126">
        <f>C9*0.2359</f>
        <v>1823.5364875</v>
      </c>
      <c r="D10" s="13"/>
      <c r="E10" s="167">
        <f>E9*0.2359</f>
        <v>0</v>
      </c>
      <c r="F10" s="83"/>
      <c r="G10" s="22">
        <f t="shared" si="0"/>
        <v>1823.5364875</v>
      </c>
      <c r="H10" s="89"/>
      <c r="X10" s="99"/>
    </row>
    <row r="11" spans="1:25">
      <c r="A11" s="85" t="s">
        <v>65</v>
      </c>
      <c r="B11" s="86" t="s">
        <v>66</v>
      </c>
      <c r="C11" s="126">
        <f>(C9+C10)*0.08</f>
        <v>764.29291899999998</v>
      </c>
      <c r="D11" s="13"/>
      <c r="E11" s="167">
        <f>(E9+E10)*0.08</f>
        <v>0</v>
      </c>
      <c r="F11" s="83"/>
      <c r="G11" s="22">
        <f t="shared" si="0"/>
        <v>764.29291899999998</v>
      </c>
      <c r="H11" s="89"/>
      <c r="J11" s="674" t="s">
        <v>85</v>
      </c>
      <c r="K11" s="675"/>
      <c r="X11" s="99"/>
    </row>
    <row r="12" spans="1:25">
      <c r="A12" s="91" t="s">
        <v>68</v>
      </c>
      <c r="B12" s="92" t="s">
        <v>21</v>
      </c>
      <c r="C12" s="127">
        <f>(C4)*0.07</f>
        <v>5070.4381000000003</v>
      </c>
      <c r="D12" s="133"/>
      <c r="E12" s="147">
        <f>(E4)*0.07</f>
        <v>1042.3980000000001</v>
      </c>
      <c r="F12" s="123"/>
      <c r="G12" s="22">
        <f t="shared" si="0"/>
        <v>6112.8361000000004</v>
      </c>
      <c r="H12" s="89"/>
      <c r="J12" s="359" t="s">
        <v>50</v>
      </c>
      <c r="K12" s="360">
        <v>11157.73</v>
      </c>
      <c r="X12" s="99"/>
    </row>
    <row r="13" spans="1:25">
      <c r="A13" s="85" t="s">
        <v>69</v>
      </c>
      <c r="B13" s="86" t="s">
        <v>70</v>
      </c>
      <c r="C13" s="130">
        <v>6660</v>
      </c>
      <c r="D13" s="134"/>
      <c r="E13" s="134"/>
      <c r="F13" s="125"/>
      <c r="G13" s="23">
        <f t="shared" si="0"/>
        <v>6660</v>
      </c>
      <c r="H13" s="93"/>
      <c r="J13" s="361" t="s">
        <v>53</v>
      </c>
      <c r="K13" s="362">
        <f>G6+G7</f>
        <v>24355.03</v>
      </c>
      <c r="X13" s="99"/>
    </row>
    <row r="14" spans="1:25">
      <c r="A14" s="94" t="s">
        <v>72</v>
      </c>
      <c r="B14" s="75" t="s">
        <v>73</v>
      </c>
      <c r="C14" s="259">
        <f>824.97+3544.56+313.8+161.9</f>
        <v>4845.2299999999996</v>
      </c>
      <c r="D14" s="13">
        <f>C14+C17+C15</f>
        <v>7661.98</v>
      </c>
      <c r="E14" s="147">
        <v>198</v>
      </c>
      <c r="F14" s="13">
        <f>E14+E17+E15</f>
        <v>248.49</v>
      </c>
      <c r="G14" s="9">
        <f t="shared" si="0"/>
        <v>5043.2299999999996</v>
      </c>
      <c r="H14" s="89">
        <f>G14+G17+G15+G18</f>
        <v>7910.4699999999993</v>
      </c>
      <c r="X14" s="99"/>
    </row>
    <row r="15" spans="1:25">
      <c r="A15" s="95" t="s">
        <v>76</v>
      </c>
      <c r="B15" s="86" t="s">
        <v>77</v>
      </c>
      <c r="C15" s="259">
        <f>347.98+262.9+240.64+37.04+211.95+7.15</f>
        <v>1107.6600000000001</v>
      </c>
      <c r="D15" s="13"/>
      <c r="E15" s="133"/>
      <c r="F15" s="13"/>
      <c r="G15" s="9">
        <f t="shared" si="0"/>
        <v>1107.6600000000001</v>
      </c>
      <c r="H15" s="89"/>
      <c r="J15" s="651" t="s">
        <v>89</v>
      </c>
      <c r="K15" s="652"/>
      <c r="X15" s="99"/>
    </row>
    <row r="16" spans="1:25">
      <c r="A16" s="224" t="s">
        <v>139</v>
      </c>
      <c r="B16" s="86" t="s">
        <v>140</v>
      </c>
      <c r="C16" s="126"/>
      <c r="D16" s="13"/>
      <c r="E16" s="252"/>
      <c r="F16" s="13"/>
      <c r="G16" s="9">
        <f t="shared" si="0"/>
        <v>0</v>
      </c>
      <c r="H16" s="1"/>
      <c r="I16" s="229"/>
      <c r="J16" s="359" t="s">
        <v>50</v>
      </c>
      <c r="K16" s="360">
        <v>20324.98</v>
      </c>
      <c r="X16" s="221"/>
    </row>
    <row r="17" spans="1:24">
      <c r="A17" s="85" t="s">
        <v>79</v>
      </c>
      <c r="B17" s="86" t="s">
        <v>80</v>
      </c>
      <c r="C17" s="126">
        <f>219.3+125+28*3+117.38+28*6+99.19+125.45+28+42+28+28+28+28+28*2+28+28+1.75+28+28+28+7.44*2+11.62+65.92+73.89+99.78+124.93</f>
        <v>1709.0900000000004</v>
      </c>
      <c r="D17" s="13"/>
      <c r="E17" s="13">
        <f>17.45+5.04+28</f>
        <v>50.489999999999995</v>
      </c>
      <c r="F17" s="13"/>
      <c r="G17" s="9">
        <f>C17+E17</f>
        <v>1759.5800000000004</v>
      </c>
      <c r="H17" s="89"/>
      <c r="J17" s="363" t="s">
        <v>53</v>
      </c>
      <c r="K17" s="364">
        <f>H9-G12</f>
        <v>16977.954406500001</v>
      </c>
      <c r="X17" s="99"/>
    </row>
    <row r="18" spans="1:24">
      <c r="A18" s="85"/>
      <c r="B18" s="86"/>
      <c r="C18" s="126"/>
      <c r="D18" s="13"/>
      <c r="E18" s="13"/>
      <c r="F18" s="13"/>
      <c r="G18" s="9"/>
      <c r="H18" s="89"/>
      <c r="J18" s="377" t="s">
        <v>141</v>
      </c>
      <c r="K18" s="470">
        <f>K17/X7</f>
        <v>21.674353273885512</v>
      </c>
      <c r="X18" s="99"/>
    </row>
    <row r="19" spans="1:24">
      <c r="A19" s="339" t="s">
        <v>82</v>
      </c>
      <c r="B19" s="339" t="s">
        <v>83</v>
      </c>
      <c r="C19" s="342">
        <f>C4-C5</f>
        <v>-2241.4425064999959</v>
      </c>
      <c r="D19" s="341">
        <f>C19/C4</f>
        <v>-3.0944264057774361E-2</v>
      </c>
      <c r="E19" s="479">
        <f>E4-E5</f>
        <v>11998.281999999999</v>
      </c>
      <c r="F19" s="341">
        <f>E19/E4</f>
        <v>0.80571887129484132</v>
      </c>
      <c r="G19" s="404">
        <f>G4-G5</f>
        <v>9756.839493499996</v>
      </c>
      <c r="H19" s="341">
        <f>G19/G4</f>
        <v>0.11172862373080798</v>
      </c>
      <c r="X19" s="221"/>
    </row>
    <row r="20" spans="1:24">
      <c r="A20" s="339" t="s">
        <v>142</v>
      </c>
      <c r="B20" s="339" t="s">
        <v>143</v>
      </c>
      <c r="C20" s="339"/>
      <c r="D20" s="339"/>
      <c r="E20" s="339"/>
      <c r="F20" s="339"/>
      <c r="G20" s="433">
        <f>(K4+K5)-64257.73</f>
        <v>23068.499999999993</v>
      </c>
      <c r="H20" s="184">
        <f>G20/K4</f>
        <v>0.31847248071128204</v>
      </c>
      <c r="J20" s="373" t="s">
        <v>100</v>
      </c>
      <c r="K20" s="374"/>
      <c r="M20" s="644" t="s">
        <v>90</v>
      </c>
      <c r="N20" s="645"/>
      <c r="O20" s="645"/>
      <c r="P20" s="645"/>
      <c r="Q20" s="645"/>
      <c r="R20" s="645"/>
      <c r="S20" s="645"/>
      <c r="T20" s="645"/>
      <c r="U20" s="645"/>
      <c r="V20" s="645"/>
      <c r="W20" s="646"/>
      <c r="X20" s="324"/>
    </row>
    <row r="21" spans="1:24">
      <c r="A21" s="98"/>
      <c r="B21" s="98"/>
      <c r="C21" s="98"/>
      <c r="D21" s="98"/>
      <c r="E21" s="98"/>
      <c r="F21" s="98"/>
      <c r="G21" s="485"/>
      <c r="H21" s="179"/>
      <c r="J21" s="367" t="s">
        <v>50</v>
      </c>
      <c r="K21" s="368">
        <f>X6/K6</f>
        <v>7.5839653304442036</v>
      </c>
      <c r="M21" s="475"/>
      <c r="N21" s="475"/>
      <c r="O21" s="475"/>
      <c r="P21" s="475"/>
      <c r="Q21" s="475"/>
      <c r="R21" s="475"/>
      <c r="S21" s="475"/>
      <c r="T21" s="475"/>
      <c r="U21" s="475"/>
      <c r="V21" s="475"/>
      <c r="W21" s="476"/>
      <c r="X21" s="478"/>
    </row>
    <row r="22" spans="1:24" ht="12.75" customHeight="1">
      <c r="A22" s="480" t="s">
        <v>86</v>
      </c>
      <c r="B22" s="412" t="s">
        <v>144</v>
      </c>
      <c r="C22" s="445" t="s">
        <v>145</v>
      </c>
      <c r="D22" s="101"/>
      <c r="E22" s="101"/>
      <c r="F22" s="101"/>
      <c r="H22" s="99"/>
      <c r="J22" s="369" t="s">
        <v>53</v>
      </c>
      <c r="K22" s="370">
        <f>X7/K6</f>
        <v>7.0722282412423256</v>
      </c>
      <c r="M22" s="486" t="s">
        <v>310</v>
      </c>
      <c r="N22" s="160" t="s">
        <v>302</v>
      </c>
      <c r="O22" s="188" t="s">
        <v>229</v>
      </c>
      <c r="P22" s="487" t="s">
        <v>303</v>
      </c>
      <c r="Q22" s="160" t="s">
        <v>315</v>
      </c>
      <c r="R22" s="160"/>
      <c r="S22" s="28"/>
      <c r="T22" s="28"/>
      <c r="U22" s="28"/>
      <c r="V22" s="28"/>
      <c r="W22" s="28"/>
      <c r="X22" s="702"/>
    </row>
    <row r="23" spans="1:24">
      <c r="A23" s="481" t="s">
        <v>88</v>
      </c>
      <c r="B23" s="449">
        <f>H6/G5</f>
        <v>0.60034157411740618</v>
      </c>
      <c r="C23" s="410">
        <f>11157.73/64257.73</f>
        <v>0.17364027643055549</v>
      </c>
      <c r="D23" s="103"/>
      <c r="E23" s="103"/>
      <c r="F23" s="103"/>
      <c r="H23" s="99"/>
      <c r="J23" s="365" t="s">
        <v>146</v>
      </c>
      <c r="K23" s="366">
        <f>K22*K18</f>
        <v>153.28597333423616</v>
      </c>
      <c r="M23" s="66">
        <v>1</v>
      </c>
      <c r="N23" s="66">
        <v>2</v>
      </c>
      <c r="O23" s="66">
        <v>3</v>
      </c>
      <c r="P23" s="66">
        <v>4</v>
      </c>
      <c r="Q23" s="66">
        <v>5</v>
      </c>
      <c r="R23" s="66">
        <v>6</v>
      </c>
      <c r="S23" s="66">
        <v>7</v>
      </c>
      <c r="T23" s="66">
        <v>8</v>
      </c>
      <c r="U23" s="66">
        <v>9</v>
      </c>
      <c r="V23" s="66">
        <v>10</v>
      </c>
      <c r="W23" s="66">
        <v>11</v>
      </c>
      <c r="X23" s="703"/>
    </row>
    <row r="24" spans="1:24">
      <c r="A24" s="482" t="s">
        <v>89</v>
      </c>
      <c r="B24" s="449">
        <f>H9/G5</f>
        <v>0.29767915353885738</v>
      </c>
      <c r="C24" s="410">
        <f>20324.98/64257.73</f>
        <v>0.3163040462213651</v>
      </c>
      <c r="D24" s="103"/>
      <c r="E24" s="103"/>
      <c r="F24" s="103"/>
      <c r="H24" s="99"/>
      <c r="M24" s="69">
        <f>X24/5</f>
        <v>1040</v>
      </c>
      <c r="N24" s="69">
        <f>M24</f>
        <v>1040</v>
      </c>
      <c r="O24" s="69">
        <f>M24</f>
        <v>1040</v>
      </c>
      <c r="P24" s="69">
        <f>X24/4</f>
        <v>1300</v>
      </c>
      <c r="Q24" s="69">
        <f>M24</f>
        <v>1040</v>
      </c>
      <c r="R24" s="69"/>
      <c r="S24" s="69"/>
      <c r="T24" s="69"/>
      <c r="U24" s="69"/>
      <c r="V24" s="69"/>
      <c r="W24" s="69"/>
      <c r="X24" s="119">
        <f>4000+1200</f>
        <v>5200</v>
      </c>
    </row>
    <row r="25" spans="1:24">
      <c r="A25" s="483" t="s">
        <v>91</v>
      </c>
      <c r="B25" s="484">
        <f>H14/G5</f>
        <v>0.10197927234373634</v>
      </c>
      <c r="C25" s="381">
        <f>(25436.39+7650)/64257.73</f>
        <v>0.51490132004351852</v>
      </c>
      <c r="D25" s="103"/>
      <c r="E25" s="103"/>
      <c r="F25" s="103"/>
      <c r="H25" s="99"/>
      <c r="J25" s="371" t="s">
        <v>90</v>
      </c>
      <c r="K25" s="372"/>
      <c r="M25" s="71">
        <f>4369.53+347.98+262.9+313.8+37.04+161.9</f>
        <v>5493.15</v>
      </c>
      <c r="N25" s="72"/>
      <c r="O25" s="72">
        <f>240.64+211.95</f>
        <v>452.59</v>
      </c>
      <c r="P25" s="72">
        <v>7.15</v>
      </c>
      <c r="Q25" s="72">
        <v>198</v>
      </c>
      <c r="R25" s="72"/>
      <c r="S25" s="72"/>
      <c r="T25" s="72"/>
      <c r="U25" s="72"/>
      <c r="V25" s="72"/>
      <c r="W25" s="72"/>
      <c r="X25" s="152">
        <f t="shared" ref="X25" si="2">M25+N25+O25+P25+Q25+R25+W25+S25+T25+U25+V25</f>
        <v>6150.8899999999994</v>
      </c>
    </row>
    <row r="26" spans="1:24">
      <c r="A26" s="78"/>
      <c r="H26" s="99"/>
      <c r="J26" s="359" t="s">
        <v>50</v>
      </c>
      <c r="K26" s="360">
        <f>X24</f>
        <v>5200</v>
      </c>
      <c r="X26" s="99"/>
    </row>
    <row r="27" spans="1:24">
      <c r="A27" s="78"/>
      <c r="H27" s="99"/>
      <c r="J27" s="363" t="s">
        <v>53</v>
      </c>
      <c r="K27" s="434">
        <f>X25</f>
        <v>6150.8899999999994</v>
      </c>
      <c r="X27" s="99"/>
    </row>
    <row r="28" spans="1:24" ht="28.5" customHeight="1">
      <c r="A28" s="78"/>
      <c r="H28" s="99"/>
      <c r="J28" s="490" t="s">
        <v>147</v>
      </c>
      <c r="K28" s="366">
        <f>K27/X7</f>
        <v>7.8523336567430926</v>
      </c>
      <c r="X28" s="99"/>
    </row>
    <row r="29" spans="1:24" ht="27.75" customHeight="1">
      <c r="A29" s="78"/>
      <c r="H29" s="99"/>
      <c r="X29" s="99"/>
    </row>
    <row r="30" spans="1:24">
      <c r="A30" s="78"/>
      <c r="H30" s="99"/>
      <c r="J30" s="189" t="s">
        <v>92</v>
      </c>
      <c r="K30" s="136"/>
      <c r="X30" s="99"/>
    </row>
    <row r="31" spans="1:24" ht="27.75">
      <c r="A31" s="78"/>
      <c r="H31" s="99"/>
      <c r="J31" s="10" t="s">
        <v>93</v>
      </c>
      <c r="K31" s="136"/>
      <c r="X31" s="99"/>
    </row>
    <row r="32" spans="1:24">
      <c r="A32" s="78"/>
      <c r="H32" s="99"/>
      <c r="X32" s="99"/>
    </row>
    <row r="33" spans="1:24">
      <c r="A33" s="78"/>
      <c r="H33" s="99"/>
      <c r="X33" s="99"/>
    </row>
    <row r="34" spans="1:24">
      <c r="A34" s="78"/>
      <c r="H34" s="99"/>
      <c r="J34" s="673" t="s">
        <v>94</v>
      </c>
      <c r="K34" s="673"/>
      <c r="X34" s="99"/>
    </row>
    <row r="35" spans="1:24">
      <c r="A35" s="106"/>
      <c r="B35" s="107"/>
      <c r="C35" s="107"/>
      <c r="D35" s="107"/>
      <c r="E35" s="107"/>
      <c r="F35" s="107"/>
      <c r="G35" s="107"/>
      <c r="H35" s="108"/>
      <c r="J35" s="672">
        <v>45470</v>
      </c>
      <c r="K35" s="672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40" spans="1:24">
      <c r="I40" s="1"/>
    </row>
  </sheetData>
  <mergeCells count="15">
    <mergeCell ref="J15:K15"/>
    <mergeCell ref="J34:K34"/>
    <mergeCell ref="J35:K35"/>
    <mergeCell ref="X22:X23"/>
    <mergeCell ref="C1:X1"/>
    <mergeCell ref="X4:X5"/>
    <mergeCell ref="M20:W20"/>
    <mergeCell ref="A2:H2"/>
    <mergeCell ref="J2:X2"/>
    <mergeCell ref="C3:D3"/>
    <mergeCell ref="E3:F3"/>
    <mergeCell ref="G3:H3"/>
    <mergeCell ref="J3:K3"/>
    <mergeCell ref="M3:W3"/>
    <mergeCell ref="J11:K11"/>
  </mergeCells>
  <conditionalFormatting sqref="K13">
    <cfRule type="cellIs" dxfId="46" priority="2" operator="greaterThan">
      <formula>#REF!</formula>
    </cfRule>
  </conditionalFormatting>
  <conditionalFormatting sqref="K18">
    <cfRule type="cellIs" dxfId="45" priority="1" operator="greaterThan">
      <formula>$K$17</formula>
    </cfRule>
  </conditionalFormatting>
  <conditionalFormatting sqref="K20">
    <cfRule type="cellIs" dxfId="44" priority="4" operator="greaterThan">
      <formula>#REF!</formula>
    </cfRule>
  </conditionalFormatting>
  <conditionalFormatting sqref="K23">
    <cfRule type="cellIs" dxfId="43" priority="3" operator="greaterThan">
      <formula>#REF!</formula>
    </cfRule>
  </conditionalFormatting>
  <pageMargins left="0.7" right="0.7" top="0.75" bottom="0.75" header="0.3" footer="0.3"/>
  <pageSetup paperSize="9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AC7B-40B9-42B2-9375-8086F0B724F3}">
  <sheetPr>
    <pageSetUpPr fitToPage="1"/>
  </sheetPr>
  <dimension ref="A1:AB55"/>
  <sheetViews>
    <sheetView workbookViewId="0">
      <selection activeCell="I5" sqref="I5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3.140625" customWidth="1"/>
    <col min="4" max="4" width="10.7109375" customWidth="1"/>
    <col min="5" max="5" width="11.85546875" customWidth="1"/>
    <col min="6" max="6" width="10.140625" customWidth="1"/>
    <col min="7" max="7" width="11.85546875" customWidth="1"/>
    <col min="8" max="8" width="10.140625" customWidth="1"/>
    <col min="9" max="10" width="10.7109375" customWidth="1"/>
    <col min="11" max="11" width="3.28515625" customWidth="1"/>
    <col min="12" max="12" width="25.42578125" customWidth="1"/>
    <col min="13" max="13" width="18.140625" bestFit="1" customWidth="1"/>
    <col min="14" max="14" width="2.85546875" customWidth="1"/>
    <col min="15" max="17" width="9.7109375" customWidth="1"/>
    <col min="18" max="19" width="9.7109375" hidden="1" customWidth="1" outlineLevel="1"/>
    <col min="20" max="24" width="12.7109375" hidden="1" customWidth="1" outlineLevel="1"/>
    <col min="25" max="25" width="2.140625" hidden="1" customWidth="1" outlineLevel="1"/>
    <col min="26" max="26" width="9.5703125" customWidth="1" collapsed="1"/>
    <col min="27" max="27" width="12.7109375" customWidth="1"/>
  </cols>
  <sheetData>
    <row r="1" spans="1:28" ht="25.5" customHeight="1">
      <c r="A1" s="246" t="s">
        <v>316</v>
      </c>
      <c r="B1" s="723" t="s">
        <v>317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  <c r="S1" s="723"/>
      <c r="T1" s="723"/>
      <c r="U1" s="723"/>
      <c r="V1" s="723"/>
      <c r="W1" s="723"/>
      <c r="X1" s="723"/>
      <c r="Y1" s="723"/>
      <c r="Z1" s="723"/>
    </row>
    <row r="2" spans="1:28" ht="18.75">
      <c r="A2" s="681" t="s">
        <v>30</v>
      </c>
      <c r="B2" s="636"/>
      <c r="C2" s="636"/>
      <c r="D2" s="636"/>
      <c r="E2" s="636"/>
      <c r="F2" s="636"/>
      <c r="G2" s="636"/>
      <c r="H2" s="636"/>
      <c r="I2" s="636"/>
      <c r="J2" s="636"/>
      <c r="K2" s="453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707"/>
    </row>
    <row r="3" spans="1:28" ht="15.75" customHeight="1">
      <c r="A3" s="229"/>
      <c r="C3" s="640" t="s">
        <v>33</v>
      </c>
      <c r="D3" s="641"/>
      <c r="E3" s="640" t="s">
        <v>34</v>
      </c>
      <c r="F3" s="641"/>
      <c r="G3" s="640" t="s">
        <v>318</v>
      </c>
      <c r="H3" s="641"/>
      <c r="I3" s="642" t="s">
        <v>36</v>
      </c>
      <c r="J3" s="724"/>
      <c r="K3" s="229"/>
      <c r="L3" s="670" t="s">
        <v>138</v>
      </c>
      <c r="M3" s="671"/>
      <c r="N3" s="110"/>
      <c r="O3" s="644" t="s">
        <v>13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324"/>
      <c r="AB3">
        <f>38558.55/I4</f>
        <v>0.56903607183878324</v>
      </c>
    </row>
    <row r="4" spans="1:28" ht="16.5" customHeight="1">
      <c r="A4" s="216" t="s">
        <v>40</v>
      </c>
      <c r="B4" s="5" t="s">
        <v>41</v>
      </c>
      <c r="C4" s="198">
        <f>(M4+M5)/3+0.01</f>
        <v>22587.063333333332</v>
      </c>
      <c r="E4" s="198">
        <f>(M4+M5)/3*2</f>
        <v>45174.106666666667</v>
      </c>
      <c r="F4" s="11"/>
      <c r="G4" s="198"/>
      <c r="H4" s="11"/>
      <c r="I4" s="135">
        <f>E4+C4</f>
        <v>67761.17</v>
      </c>
      <c r="J4" s="451">
        <f>D4+F4</f>
        <v>0</v>
      </c>
      <c r="K4" s="229"/>
      <c r="L4" s="349" t="s">
        <v>64</v>
      </c>
      <c r="M4" s="350">
        <f>53267.96-2899.12</f>
        <v>50368.84</v>
      </c>
      <c r="N4" s="110"/>
      <c r="O4" s="28" t="s">
        <v>319</v>
      </c>
      <c r="P4" s="29" t="s">
        <v>320</v>
      </c>
      <c r="Q4" s="28" t="s">
        <v>321</v>
      </c>
      <c r="R4" s="29"/>
      <c r="S4" s="29"/>
      <c r="T4" s="29"/>
      <c r="U4" s="29"/>
      <c r="V4" s="29"/>
      <c r="W4" s="29"/>
      <c r="X4" s="29"/>
      <c r="Y4" s="29"/>
      <c r="Z4" s="682" t="s">
        <v>49</v>
      </c>
    </row>
    <row r="5" spans="1:28">
      <c r="A5" s="216" t="s">
        <v>51</v>
      </c>
      <c r="B5" s="5" t="s">
        <v>52</v>
      </c>
      <c r="C5" s="161">
        <f>C6+C7+C8+C9+C10+C11+C13+C14+C17+C15+C12</f>
        <v>3581.0944333333337</v>
      </c>
      <c r="D5" s="5"/>
      <c r="E5" s="161">
        <f>E6+E7+E8+E9+E10+E11+E13+E14+E17+E15+E12</f>
        <v>12287.187466666666</v>
      </c>
      <c r="F5" s="12"/>
      <c r="G5" s="161">
        <f>G6+G7+G8+G9+G10+G11+G13+G14+G17+G15+G12</f>
        <v>37096.93</v>
      </c>
      <c r="H5" s="12"/>
      <c r="I5" s="8">
        <f>I6+I7+I8+I9+I10+I11+I13+I14+I17+I15+I12+I18</f>
        <v>52965.211900000002</v>
      </c>
      <c r="J5" s="425"/>
      <c r="K5" s="229"/>
      <c r="L5" s="399" t="s">
        <v>67</v>
      </c>
      <c r="M5" s="400">
        <f>14639.25+2753.07</f>
        <v>17392.32</v>
      </c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683"/>
    </row>
    <row r="6" spans="1:28">
      <c r="A6" s="217" t="s">
        <v>54</v>
      </c>
      <c r="B6" s="75" t="s">
        <v>55</v>
      </c>
      <c r="C6" s="126">
        <f>1910</f>
        <v>1910</v>
      </c>
      <c r="D6" s="145">
        <f>C6+C7+C8</f>
        <v>1910</v>
      </c>
      <c r="E6" s="13"/>
      <c r="F6" s="145">
        <f>E6+E7+E8</f>
        <v>9000</v>
      </c>
      <c r="G6" s="13">
        <v>173.99</v>
      </c>
      <c r="H6" s="13">
        <f>G6+G7+G8</f>
        <v>37096.93</v>
      </c>
      <c r="I6" s="9">
        <f>C6+E6+G6</f>
        <v>2083.9899999999998</v>
      </c>
      <c r="J6" s="426">
        <f>I6+I7+I8</f>
        <v>48006.93</v>
      </c>
      <c r="K6" s="229"/>
      <c r="L6" s="351" t="s">
        <v>71</v>
      </c>
      <c r="M6" s="352">
        <v>200</v>
      </c>
      <c r="O6" s="40">
        <v>730</v>
      </c>
      <c r="P6" s="40"/>
      <c r="Q6" s="40"/>
      <c r="R6" s="40">
        <f>Q6</f>
        <v>0</v>
      </c>
      <c r="S6" s="40">
        <f>R6</f>
        <v>0</v>
      </c>
      <c r="T6" s="40"/>
      <c r="U6" s="41"/>
      <c r="V6" s="41"/>
      <c r="W6" s="41"/>
      <c r="X6" s="41"/>
      <c r="Y6" s="41"/>
      <c r="Z6" s="218">
        <f>O6</f>
        <v>730</v>
      </c>
    </row>
    <row r="7" spans="1:28">
      <c r="A7" s="219" t="s">
        <v>56</v>
      </c>
      <c r="B7" s="86" t="s">
        <v>57</v>
      </c>
      <c r="C7" s="126"/>
      <c r="D7" s="13"/>
      <c r="E7" s="13"/>
      <c r="F7" s="13"/>
      <c r="G7" s="13">
        <v>650</v>
      </c>
      <c r="H7" s="13"/>
      <c r="I7" s="9">
        <f t="shared" ref="I7:I18" si="0">C7+E7+G7</f>
        <v>650</v>
      </c>
      <c r="J7" s="426"/>
      <c r="K7" s="229"/>
      <c r="L7" s="353" t="s">
        <v>74</v>
      </c>
      <c r="M7" s="354" t="s">
        <v>75</v>
      </c>
      <c r="O7" s="49"/>
      <c r="P7" s="50"/>
      <c r="Q7" s="50"/>
      <c r="R7" s="50"/>
      <c r="S7" s="50"/>
      <c r="T7" s="50"/>
      <c r="U7" s="51"/>
      <c r="V7" s="51"/>
      <c r="W7" s="51"/>
      <c r="X7" s="51"/>
      <c r="Y7" s="51"/>
      <c r="Z7" s="443">
        <f t="shared" ref="Z7" si="1">O7+P7+Q7+R7+S7+T7+Y7+U7+V7+W7+X7</f>
        <v>0</v>
      </c>
    </row>
    <row r="8" spans="1:28">
      <c r="A8" s="220" t="s">
        <v>58</v>
      </c>
      <c r="B8" s="76" t="s">
        <v>59</v>
      </c>
      <c r="C8" s="18"/>
      <c r="D8" s="14"/>
      <c r="E8" s="146">
        <v>9000</v>
      </c>
      <c r="F8" s="14"/>
      <c r="G8" s="14">
        <f>11457.3+20000+3291.91+628.73+895</f>
        <v>36272.94</v>
      </c>
      <c r="H8" s="14"/>
      <c r="I8" s="174">
        <f t="shared" si="0"/>
        <v>45272.94</v>
      </c>
      <c r="J8" s="1"/>
      <c r="K8" s="229"/>
      <c r="L8" s="355" t="s">
        <v>78</v>
      </c>
      <c r="M8" s="465">
        <v>13</v>
      </c>
      <c r="Z8" s="221"/>
    </row>
    <row r="9" spans="1:28">
      <c r="A9" s="217" t="s">
        <v>60</v>
      </c>
      <c r="B9" s="75" t="s">
        <v>61</v>
      </c>
      <c r="C9" s="153"/>
      <c r="D9" s="141">
        <f>C9+C10+C11+C13+C12</f>
        <v>1581.0944333333334</v>
      </c>
      <c r="E9" s="249"/>
      <c r="F9" s="128">
        <f>E9+E10+E11+E13+E12</f>
        <v>3162.1874666666668</v>
      </c>
      <c r="G9" s="258"/>
      <c r="H9" s="464">
        <f>G9+G10+G11+G13+G12</f>
        <v>0</v>
      </c>
      <c r="I9" s="169">
        <f t="shared" si="0"/>
        <v>0</v>
      </c>
      <c r="J9" s="427">
        <f>I9+I10+I11+I13+I12</f>
        <v>4743.2819</v>
      </c>
      <c r="K9" s="229"/>
      <c r="L9" s="357" t="s">
        <v>81</v>
      </c>
      <c r="M9" s="358">
        <v>12</v>
      </c>
      <c r="Z9" s="221"/>
    </row>
    <row r="10" spans="1:28">
      <c r="A10" s="219" t="s">
        <v>62</v>
      </c>
      <c r="B10" s="86" t="s">
        <v>63</v>
      </c>
      <c r="C10" s="126">
        <f>C9*0.2359</f>
        <v>0</v>
      </c>
      <c r="D10" s="13"/>
      <c r="E10" s="250">
        <f>E9*0.2359</f>
        <v>0</v>
      </c>
      <c r="F10" s="83"/>
      <c r="G10" s="259">
        <f>G9*0.2359</f>
        <v>0</v>
      </c>
      <c r="H10" s="83"/>
      <c r="I10" s="169">
        <f t="shared" si="0"/>
        <v>0</v>
      </c>
      <c r="J10" s="1"/>
      <c r="K10" s="229"/>
      <c r="M10">
        <v>62088.49</v>
      </c>
      <c r="Z10" s="221"/>
    </row>
    <row r="11" spans="1:28">
      <c r="A11" s="219" t="s">
        <v>65</v>
      </c>
      <c r="B11" s="86" t="s">
        <v>66</v>
      </c>
      <c r="C11" s="126">
        <f>(C9+C10)*0.08</f>
        <v>0</v>
      </c>
      <c r="D11" s="13"/>
      <c r="E11" s="250">
        <f>(E9+E10)*0.08</f>
        <v>0</v>
      </c>
      <c r="F11" s="83"/>
      <c r="G11" s="259">
        <f>(G9+G10)*0.08</f>
        <v>0</v>
      </c>
      <c r="H11" s="83"/>
      <c r="I11" s="169">
        <f t="shared" si="0"/>
        <v>0</v>
      </c>
      <c r="J11" s="1"/>
      <c r="K11" s="229"/>
      <c r="L11" s="674" t="s">
        <v>85</v>
      </c>
      <c r="M11" s="675"/>
      <c r="Z11" s="221"/>
    </row>
    <row r="12" spans="1:28">
      <c r="A12" s="222" t="s">
        <v>68</v>
      </c>
      <c r="B12" s="92" t="s">
        <v>21</v>
      </c>
      <c r="C12" s="127">
        <f>(C4)*0.07</f>
        <v>1581.0944333333334</v>
      </c>
      <c r="D12" s="133"/>
      <c r="E12" s="250">
        <f>(E4)*0.07</f>
        <v>3162.1874666666668</v>
      </c>
      <c r="F12" s="123"/>
      <c r="G12" s="259">
        <f>(G4)*0.07</f>
        <v>0</v>
      </c>
      <c r="H12" s="123"/>
      <c r="I12" s="169">
        <f t="shared" si="0"/>
        <v>4743.2819</v>
      </c>
      <c r="J12" s="1"/>
      <c r="K12" s="229"/>
      <c r="L12" s="359" t="s">
        <v>50</v>
      </c>
      <c r="M12" s="360">
        <v>9382.1200000000008</v>
      </c>
      <c r="Z12" s="221"/>
    </row>
    <row r="13" spans="1:28">
      <c r="A13" s="219" t="s">
        <v>69</v>
      </c>
      <c r="B13" s="86" t="s">
        <v>70</v>
      </c>
      <c r="C13" s="130"/>
      <c r="D13" s="134"/>
      <c r="E13" s="251"/>
      <c r="F13" s="125"/>
      <c r="G13" s="260"/>
      <c r="H13" s="125"/>
      <c r="I13" s="171">
        <f t="shared" si="0"/>
        <v>0</v>
      </c>
      <c r="J13" s="428"/>
      <c r="K13" s="229"/>
      <c r="L13" s="361" t="s">
        <v>53</v>
      </c>
      <c r="M13" s="362">
        <f>I6+I7</f>
        <v>2733.99</v>
      </c>
      <c r="Z13" s="221"/>
    </row>
    <row r="14" spans="1:28">
      <c r="A14" s="223" t="s">
        <v>72</v>
      </c>
      <c r="B14" s="75" t="s">
        <v>73</v>
      </c>
      <c r="C14" s="126"/>
      <c r="D14" s="145">
        <f>C14+C17+C15</f>
        <v>90</v>
      </c>
      <c r="E14" s="147"/>
      <c r="F14" s="145">
        <f>E14+E17+E15</f>
        <v>125</v>
      </c>
      <c r="G14" s="147"/>
      <c r="H14" s="13">
        <f>G14+G17+G15</f>
        <v>0</v>
      </c>
      <c r="I14" s="9">
        <f t="shared" si="0"/>
        <v>0</v>
      </c>
      <c r="J14" s="1">
        <f>I14+I17+I15+I18</f>
        <v>215</v>
      </c>
      <c r="K14" s="229"/>
      <c r="Z14" s="221"/>
    </row>
    <row r="15" spans="1:28">
      <c r="A15" s="224" t="s">
        <v>76</v>
      </c>
      <c r="B15" s="86" t="s">
        <v>77</v>
      </c>
      <c r="C15" s="126"/>
      <c r="D15" s="13"/>
      <c r="E15" s="133"/>
      <c r="F15" s="13"/>
      <c r="G15" s="133"/>
      <c r="H15" s="13"/>
      <c r="I15" s="9">
        <f t="shared" si="0"/>
        <v>0</v>
      </c>
      <c r="J15" s="1"/>
      <c r="K15" s="229"/>
      <c r="L15" s="651" t="s">
        <v>89</v>
      </c>
      <c r="M15" s="652"/>
      <c r="Z15" s="221"/>
    </row>
    <row r="16" spans="1:28">
      <c r="A16" s="224" t="s">
        <v>139</v>
      </c>
      <c r="B16" s="86" t="s">
        <v>140</v>
      </c>
      <c r="C16" s="126"/>
      <c r="D16" s="13"/>
      <c r="E16" s="133"/>
      <c r="F16" s="13"/>
      <c r="G16" s="133"/>
      <c r="H16" s="13"/>
      <c r="I16" s="9">
        <f t="shared" si="0"/>
        <v>0</v>
      </c>
      <c r="J16" s="1"/>
      <c r="K16" s="229"/>
      <c r="L16" s="359" t="s">
        <v>50</v>
      </c>
      <c r="M16" s="360"/>
      <c r="Z16" s="221"/>
    </row>
    <row r="17" spans="1:26">
      <c r="A17" s="219" t="s">
        <v>79</v>
      </c>
      <c r="B17" s="86" t="s">
        <v>80</v>
      </c>
      <c r="C17" s="126">
        <v>90</v>
      </c>
      <c r="D17" s="13"/>
      <c r="E17" s="145">
        <v>125</v>
      </c>
      <c r="F17" s="13"/>
      <c r="G17" s="252"/>
      <c r="H17" s="13"/>
      <c r="I17" s="9">
        <f t="shared" si="0"/>
        <v>215</v>
      </c>
      <c r="J17" s="1"/>
      <c r="K17" s="229"/>
      <c r="L17" s="363" t="s">
        <v>53</v>
      </c>
      <c r="M17" s="364">
        <f>J9-I12</f>
        <v>0</v>
      </c>
      <c r="Z17" s="221"/>
    </row>
    <row r="18" spans="1:26">
      <c r="A18" s="219"/>
      <c r="B18" s="86"/>
      <c r="C18" s="17"/>
      <c r="D18" s="13"/>
      <c r="E18" s="13"/>
      <c r="F18" s="13"/>
      <c r="G18" s="13"/>
      <c r="H18" s="13"/>
      <c r="I18" s="9">
        <f t="shared" si="0"/>
        <v>0</v>
      </c>
      <c r="J18" s="1"/>
      <c r="K18" s="229"/>
      <c r="L18" s="375" t="s">
        <v>322</v>
      </c>
      <c r="M18" s="440">
        <f>M16/Z6</f>
        <v>0</v>
      </c>
      <c r="Z18" s="221"/>
    </row>
    <row r="19" spans="1:26">
      <c r="A19" s="391" t="s">
        <v>82</v>
      </c>
      <c r="B19" s="344" t="s">
        <v>83</v>
      </c>
      <c r="C19" s="345">
        <f>C4-C5</f>
        <v>19005.9689</v>
      </c>
      <c r="D19" s="405">
        <f>C19/C4</f>
        <v>0.84145373922742506</v>
      </c>
      <c r="E19" s="345">
        <f>E4-E5</f>
        <v>32886.919200000004</v>
      </c>
      <c r="F19" s="346">
        <f>E19/E4</f>
        <v>0.72800375318250166</v>
      </c>
      <c r="G19" s="345">
        <f>G4-G5</f>
        <v>-37096.93</v>
      </c>
      <c r="H19" s="346" t="e">
        <f>G19/G4</f>
        <v>#DIV/0!</v>
      </c>
      <c r="I19" s="348">
        <f>I4-I5</f>
        <v>14795.958099999996</v>
      </c>
      <c r="J19" s="405">
        <f>I19/I4</f>
        <v>0.21835452516537121</v>
      </c>
      <c r="K19" s="229"/>
      <c r="L19" s="377" t="s">
        <v>141</v>
      </c>
      <c r="M19" s="470" t="e">
        <f>M17/Z7</f>
        <v>#DIV/0!</v>
      </c>
      <c r="Z19" s="221"/>
    </row>
    <row r="20" spans="1:26">
      <c r="A20" s="393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474">
        <f>M4-45307.33</f>
        <v>5061.5099999999948</v>
      </c>
      <c r="J20" s="452">
        <f>I20/M4</f>
        <v>0.10048891338375066</v>
      </c>
      <c r="K20" s="229"/>
      <c r="O20" s="644" t="s">
        <v>90</v>
      </c>
      <c r="P20" s="645"/>
      <c r="Q20" s="645"/>
      <c r="R20" s="645"/>
      <c r="S20" s="645"/>
      <c r="T20" s="645"/>
      <c r="U20" s="645"/>
      <c r="V20" s="645"/>
      <c r="W20" s="645"/>
      <c r="X20" s="645"/>
      <c r="Y20" s="646"/>
      <c r="Z20" s="324"/>
    </row>
    <row r="21" spans="1:26" ht="24" customHeight="1">
      <c r="A21" s="229"/>
      <c r="C21" s="101"/>
      <c r="D21" s="101"/>
      <c r="E21" s="101"/>
      <c r="F21" s="101"/>
      <c r="G21" s="101"/>
      <c r="H21" s="101"/>
      <c r="K21" s="229"/>
      <c r="L21" s="373" t="s">
        <v>100</v>
      </c>
      <c r="M21" s="374"/>
      <c r="O21" s="28"/>
      <c r="P21" s="29"/>
      <c r="Q21" s="28"/>
      <c r="R21" s="29"/>
      <c r="S21" s="29"/>
      <c r="T21" s="29"/>
      <c r="U21" s="28"/>
      <c r="V21" s="28"/>
      <c r="W21" s="28"/>
      <c r="X21" s="28"/>
      <c r="Y21" s="28"/>
      <c r="Z21" s="684" t="s">
        <v>49</v>
      </c>
    </row>
    <row r="22" spans="1:26">
      <c r="A22" s="395" t="s">
        <v>86</v>
      </c>
      <c r="B22" s="444" t="s">
        <v>144</v>
      </c>
      <c r="C22" s="445" t="s">
        <v>323</v>
      </c>
      <c r="D22" s="103"/>
      <c r="E22" s="103"/>
      <c r="F22" s="103"/>
      <c r="G22" s="103"/>
      <c r="H22" s="103"/>
      <c r="K22" s="229"/>
      <c r="L22" s="367" t="s">
        <v>50</v>
      </c>
      <c r="M22" s="368">
        <f>Z6/M6</f>
        <v>3.65</v>
      </c>
      <c r="O22" s="66">
        <v>1</v>
      </c>
      <c r="P22" s="66">
        <v>2</v>
      </c>
      <c r="Q22" s="66">
        <v>3</v>
      </c>
      <c r="R22" s="66">
        <v>4</v>
      </c>
      <c r="S22" s="66">
        <v>5</v>
      </c>
      <c r="T22" s="66">
        <v>6</v>
      </c>
      <c r="U22" s="66">
        <v>7</v>
      </c>
      <c r="V22" s="66">
        <v>8</v>
      </c>
      <c r="W22" s="66">
        <v>9</v>
      </c>
      <c r="X22" s="66">
        <v>10</v>
      </c>
      <c r="Y22" s="66">
        <v>11</v>
      </c>
      <c r="Z22" s="685"/>
    </row>
    <row r="23" spans="1:26">
      <c r="A23" s="226" t="s">
        <v>88</v>
      </c>
      <c r="B23" s="413">
        <f>J6/I5</f>
        <v>0.90638606507680186</v>
      </c>
      <c r="C23" s="463"/>
      <c r="D23" s="103"/>
      <c r="E23" s="103"/>
      <c r="F23" s="103"/>
      <c r="G23" s="103"/>
      <c r="H23" s="103"/>
      <c r="K23" s="229"/>
      <c r="L23" s="369" t="s">
        <v>53</v>
      </c>
      <c r="M23" s="370">
        <f>Z7/M6</f>
        <v>0</v>
      </c>
      <c r="O23" s="69">
        <f>Z23/5</f>
        <v>0</v>
      </c>
      <c r="P23" s="69">
        <f>O23</f>
        <v>0</v>
      </c>
      <c r="Q23" s="69">
        <f>O23</f>
        <v>0</v>
      </c>
      <c r="R23" s="69">
        <f>Q23</f>
        <v>0</v>
      </c>
      <c r="S23" s="69">
        <f>R23</f>
        <v>0</v>
      </c>
      <c r="T23" s="69"/>
      <c r="U23" s="69"/>
      <c r="V23" s="69"/>
      <c r="W23" s="69"/>
      <c r="X23" s="69"/>
      <c r="Y23" s="69"/>
      <c r="Z23" s="326">
        <f>M27</f>
        <v>0</v>
      </c>
    </row>
    <row r="24" spans="1:26">
      <c r="A24" s="227" t="s">
        <v>89</v>
      </c>
      <c r="B24" s="413">
        <f>J9/I5</f>
        <v>8.9554666730220334E-2</v>
      </c>
      <c r="C24" s="463"/>
      <c r="D24" s="103"/>
      <c r="E24" s="103"/>
      <c r="F24" s="103"/>
      <c r="G24" s="103"/>
      <c r="H24" s="103"/>
      <c r="K24" s="229"/>
      <c r="L24" s="365" t="s">
        <v>146</v>
      </c>
      <c r="M24" s="366" t="e">
        <f>M23*M19</f>
        <v>#DIV/0!</v>
      </c>
      <c r="O24" s="71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398">
        <f t="shared" ref="Z24" si="2">O24+P24+Q24+R24+S24+T24+Y24+U24+V24+W24+X24</f>
        <v>0</v>
      </c>
    </row>
    <row r="25" spans="1:26">
      <c r="A25" s="228" t="s">
        <v>91</v>
      </c>
      <c r="B25" s="414">
        <f>J14/I5</f>
        <v>4.0592681929778138E-3</v>
      </c>
      <c r="C25" s="183"/>
      <c r="K25" s="229"/>
      <c r="Z25" s="221"/>
    </row>
    <row r="26" spans="1:26">
      <c r="A26" s="229"/>
      <c r="K26" s="229"/>
      <c r="L26" s="371" t="s">
        <v>90</v>
      </c>
      <c r="M26" s="372"/>
      <c r="Z26" s="221"/>
    </row>
    <row r="27" spans="1:26">
      <c r="A27" s="229"/>
      <c r="K27" s="229"/>
      <c r="L27" s="359" t="s">
        <v>50</v>
      </c>
      <c r="M27" s="360"/>
      <c r="Z27" s="221"/>
    </row>
    <row r="28" spans="1:26">
      <c r="A28" s="229"/>
      <c r="K28" s="229"/>
      <c r="L28" s="363" t="s">
        <v>53</v>
      </c>
      <c r="M28" s="364">
        <f>I14+I15</f>
        <v>0</v>
      </c>
      <c r="Z28" s="221"/>
    </row>
    <row r="29" spans="1:26">
      <c r="A29" s="229"/>
      <c r="K29" s="229"/>
      <c r="L29" s="365" t="s">
        <v>147</v>
      </c>
      <c r="M29" s="366" t="e">
        <f>M28/Z7</f>
        <v>#DIV/0!</v>
      </c>
      <c r="Z29" s="221"/>
    </row>
    <row r="30" spans="1:26">
      <c r="A30" s="229"/>
      <c r="K30" s="229"/>
      <c r="Z30" s="221"/>
    </row>
    <row r="31" spans="1:26">
      <c r="A31" s="229"/>
      <c r="K31" s="229"/>
      <c r="L31" s="189" t="s">
        <v>92</v>
      </c>
      <c r="M31" s="136">
        <f>M37+M38</f>
        <v>39798.89</v>
      </c>
      <c r="Z31" s="221"/>
    </row>
    <row r="32" spans="1:26" ht="27.75">
      <c r="A32" s="229"/>
      <c r="K32" s="229"/>
      <c r="L32" s="10" t="s">
        <v>93</v>
      </c>
      <c r="M32" s="136">
        <f>I8</f>
        <v>45272.94</v>
      </c>
      <c r="Z32" s="221"/>
    </row>
    <row r="33" spans="1:26">
      <c r="A33" s="229"/>
      <c r="K33" s="229"/>
      <c r="Z33" s="221"/>
    </row>
    <row r="34" spans="1:26">
      <c r="A34" s="229"/>
      <c r="K34" s="229"/>
      <c r="L34" s="673" t="s">
        <v>94</v>
      </c>
      <c r="M34" s="673"/>
      <c r="Z34" s="221"/>
    </row>
    <row r="35" spans="1:26">
      <c r="A35" s="230"/>
      <c r="B35" s="231"/>
      <c r="C35" s="231"/>
      <c r="D35" s="231"/>
      <c r="E35" s="231"/>
      <c r="F35" s="231"/>
      <c r="G35" s="231"/>
      <c r="H35" s="231"/>
      <c r="I35" s="231"/>
      <c r="J35" s="231"/>
      <c r="K35" s="230"/>
      <c r="L35" s="672">
        <v>45575</v>
      </c>
      <c r="M35" s="672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2"/>
    </row>
    <row r="37" spans="1:26">
      <c r="L37" t="s">
        <v>324</v>
      </c>
      <c r="M37">
        <v>10798.89</v>
      </c>
    </row>
    <row r="38" spans="1:26">
      <c r="L38" t="s">
        <v>325</v>
      </c>
      <c r="M38">
        <v>29000</v>
      </c>
    </row>
    <row r="39" spans="1:26">
      <c r="B39">
        <f>55083.64</f>
        <v>55083.64</v>
      </c>
      <c r="K39" s="1"/>
    </row>
    <row r="40" spans="1:26">
      <c r="B40">
        <f>ROUND(B39*0.3,2)</f>
        <v>16525.09</v>
      </c>
      <c r="C40" s="179">
        <v>0.3</v>
      </c>
    </row>
    <row r="41" spans="1:26">
      <c r="B41">
        <f>ROUND(B39*0.4,2)</f>
        <v>22033.46</v>
      </c>
      <c r="C41" s="179">
        <v>0.4</v>
      </c>
    </row>
    <row r="42" spans="1:26">
      <c r="B42">
        <f>ROUND(B39*0.3,2)</f>
        <v>16525.09</v>
      </c>
      <c r="C42" s="179">
        <v>0.3</v>
      </c>
    </row>
    <row r="43" spans="1:26">
      <c r="B43">
        <f>SUM(B40:B42)</f>
        <v>55083.64</v>
      </c>
    </row>
    <row r="53" spans="2:2">
      <c r="B53" s="248"/>
    </row>
    <row r="54" spans="2:2">
      <c r="B54" s="248"/>
    </row>
    <row r="55" spans="2:2">
      <c r="B55" s="248"/>
    </row>
  </sheetData>
  <mergeCells count="16">
    <mergeCell ref="L35:M35"/>
    <mergeCell ref="L34:M34"/>
    <mergeCell ref="O20:Y20"/>
    <mergeCell ref="B1:Z1"/>
    <mergeCell ref="A2:J2"/>
    <mergeCell ref="L2:Z2"/>
    <mergeCell ref="C3:D3"/>
    <mergeCell ref="E3:F3"/>
    <mergeCell ref="I3:J3"/>
    <mergeCell ref="G3:H3"/>
    <mergeCell ref="L11:M11"/>
    <mergeCell ref="L15:M15"/>
    <mergeCell ref="O3:Y3"/>
    <mergeCell ref="Z4:Z5"/>
    <mergeCell ref="Z21:Z22"/>
    <mergeCell ref="L3:M3"/>
  </mergeCells>
  <conditionalFormatting sqref="M13">
    <cfRule type="cellIs" dxfId="42" priority="1" operator="greaterThan">
      <formula>$M$12</formula>
    </cfRule>
  </conditionalFormatting>
  <conditionalFormatting sqref="M21">
    <cfRule type="cellIs" dxfId="41" priority="4" operator="greaterThan">
      <formula>$K$21</formula>
    </cfRule>
  </conditionalFormatting>
  <conditionalFormatting sqref="M24">
    <cfRule type="cellIs" dxfId="40" priority="3" operator="greaterThan">
      <formula>$K$24</formula>
    </cfRule>
  </conditionalFormatting>
  <pageMargins left="0.7" right="0.7" top="0.75" bottom="0.75" header="0.3" footer="0.3"/>
  <pageSetup paperSize="9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7088-0377-41BB-BDEB-885795C893B1}">
  <sheetPr>
    <pageSetUpPr fitToPage="1"/>
  </sheetPr>
  <dimension ref="A1:Z59"/>
  <sheetViews>
    <sheetView workbookViewId="0">
      <selection activeCell="C19" sqref="C19"/>
    </sheetView>
  </sheetViews>
  <sheetFormatPr defaultRowHeight="15" outlineLevelCol="1"/>
  <cols>
    <col min="1" max="1" width="36.42578125" bestFit="1" customWidth="1"/>
    <col min="2" max="2" width="29" customWidth="1"/>
    <col min="3" max="3" width="12.7109375" customWidth="1"/>
    <col min="4" max="4" width="10.7109375" customWidth="1"/>
    <col min="5" max="5" width="12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23.7109375" customWidth="1"/>
    <col min="11" max="11" width="18.140625" bestFit="1" customWidth="1"/>
    <col min="12" max="12" width="2.85546875" customWidth="1"/>
    <col min="13" max="14" width="10.7109375" customWidth="1"/>
    <col min="15" max="16" width="10.7109375" hidden="1" customWidth="1" outlineLevel="1"/>
    <col min="17" max="22" width="12.7109375" hidden="1" customWidth="1" outlineLevel="1"/>
    <col min="23" max="23" width="3.85546875" hidden="1" customWidth="1" outlineLevel="1"/>
    <col min="24" max="24" width="12.7109375" customWidth="1" collapsed="1"/>
    <col min="25" max="25" width="12.7109375" customWidth="1"/>
  </cols>
  <sheetData>
    <row r="1" spans="1:26" ht="25.5">
      <c r="A1" s="187" t="s">
        <v>326</v>
      </c>
      <c r="B1" s="726" t="s">
        <v>327</v>
      </c>
      <c r="C1" s="727"/>
      <c r="D1" s="727"/>
      <c r="E1" s="727"/>
      <c r="F1" s="727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</row>
    <row r="2" spans="1:26" ht="18.75">
      <c r="A2" s="681" t="s">
        <v>30</v>
      </c>
      <c r="B2" s="636"/>
      <c r="C2" s="636"/>
      <c r="D2" s="636"/>
      <c r="E2" s="636"/>
      <c r="F2" s="636"/>
      <c r="G2" s="636"/>
      <c r="H2" s="636"/>
      <c r="I2" s="453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707"/>
    </row>
    <row r="3" spans="1:26" ht="15.75" customHeight="1">
      <c r="A3" s="229"/>
      <c r="C3" s="640" t="s">
        <v>328</v>
      </c>
      <c r="D3" s="641"/>
      <c r="E3" s="640"/>
      <c r="F3" s="641"/>
      <c r="G3" s="642" t="s">
        <v>36</v>
      </c>
      <c r="H3" s="724"/>
      <c r="I3" s="229"/>
      <c r="J3" s="670" t="s">
        <v>138</v>
      </c>
      <c r="K3" s="671"/>
      <c r="L3" s="110"/>
      <c r="M3" s="644" t="s">
        <v>13</v>
      </c>
      <c r="N3" s="645"/>
      <c r="O3" s="645"/>
      <c r="P3" s="645"/>
      <c r="Q3" s="645"/>
      <c r="R3" s="645"/>
      <c r="S3" s="645"/>
      <c r="T3" s="645"/>
      <c r="U3" s="645"/>
      <c r="V3" s="645"/>
      <c r="W3" s="646"/>
      <c r="X3" s="324"/>
    </row>
    <row r="4" spans="1:26" ht="16.5" customHeight="1">
      <c r="A4" s="216" t="s">
        <v>40</v>
      </c>
      <c r="B4" s="5" t="s">
        <v>41</v>
      </c>
      <c r="C4" s="198">
        <f>K4</f>
        <v>43500</v>
      </c>
      <c r="D4">
        <f>M7</f>
        <v>173.03</v>
      </c>
      <c r="E4" s="198">
        <f>C4</f>
        <v>43500</v>
      </c>
      <c r="F4" s="11"/>
      <c r="G4" s="135">
        <f>C4</f>
        <v>43500</v>
      </c>
      <c r="H4" s="451"/>
      <c r="I4" s="229"/>
      <c r="J4" s="349" t="s">
        <v>64</v>
      </c>
      <c r="K4" s="350">
        <v>43500</v>
      </c>
      <c r="L4" s="110"/>
      <c r="M4" s="28" t="s">
        <v>329</v>
      </c>
      <c r="N4" s="29" t="s">
        <v>330</v>
      </c>
      <c r="O4" s="28" t="s">
        <v>331</v>
      </c>
      <c r="P4" s="29" t="s">
        <v>332</v>
      </c>
      <c r="Q4" s="29" t="s">
        <v>333</v>
      </c>
      <c r="R4" s="29"/>
      <c r="S4" s="29"/>
      <c r="T4" s="29"/>
      <c r="U4" s="29"/>
      <c r="V4" s="29"/>
      <c r="W4" s="29"/>
      <c r="X4" s="700" t="s">
        <v>49</v>
      </c>
    </row>
    <row r="5" spans="1:26">
      <c r="A5" s="216" t="s">
        <v>51</v>
      </c>
      <c r="B5" s="5" t="s">
        <v>52</v>
      </c>
      <c r="C5" s="161">
        <f>C6+C7+C8+C9+C10+C11+C14+C15+C18+C16+C12+C13</f>
        <v>26123.849448023997</v>
      </c>
      <c r="D5" s="5"/>
      <c r="E5" s="161">
        <f>E6+E7+E8+E9+E10+E11+E14+E15+E18+E16+E12</f>
        <v>0</v>
      </c>
      <c r="F5" s="12"/>
      <c r="G5" s="8">
        <f>G6+G7+G8+G9+G10+G11+G14+G15+G18+G16+G12+G19+G13</f>
        <v>26123.849448023997</v>
      </c>
      <c r="H5" s="425"/>
      <c r="I5" s="229"/>
      <c r="J5" s="399" t="s">
        <v>67</v>
      </c>
      <c r="K5" s="400"/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701"/>
    </row>
    <row r="6" spans="1:26">
      <c r="A6" s="217" t="s">
        <v>54</v>
      </c>
      <c r="B6" s="75" t="s">
        <v>55</v>
      </c>
      <c r="C6" s="126">
        <f>153+159.17+1516.37+4.93-11.84+59.84+65.28+244.71+182.15+433.04+185.69+103.35+51.07+208.27+109.07+49.5+32.98+94.13+31.99+69.85</f>
        <v>3742.55</v>
      </c>
      <c r="D6" s="13">
        <f>C6+C7+C8</f>
        <v>7307.55</v>
      </c>
      <c r="E6" s="13"/>
      <c r="F6" s="145">
        <f>E6+E7+E8</f>
        <v>0</v>
      </c>
      <c r="G6" s="9">
        <f>C6+E6</f>
        <v>3742.55</v>
      </c>
      <c r="H6" s="426">
        <f>G6+G7+G8</f>
        <v>7307.55</v>
      </c>
      <c r="I6" s="229"/>
      <c r="J6" s="351" t="s">
        <v>71</v>
      </c>
      <c r="K6" s="352">
        <f>50.89+12.94</f>
        <v>63.83</v>
      </c>
      <c r="M6" s="40">
        <f>X6/2</f>
        <v>248.435</v>
      </c>
      <c r="N6" s="40">
        <f>M6</f>
        <v>248.435</v>
      </c>
      <c r="O6" s="40">
        <f>M6</f>
        <v>248.435</v>
      </c>
      <c r="P6" s="40">
        <f>O6</f>
        <v>248.435</v>
      </c>
      <c r="Q6" s="40"/>
      <c r="R6" s="40"/>
      <c r="S6" s="41"/>
      <c r="T6" s="41"/>
      <c r="U6" s="41"/>
      <c r="V6" s="41"/>
      <c r="W6" s="41"/>
      <c r="X6" s="218">
        <v>496.87</v>
      </c>
    </row>
    <row r="7" spans="1:26">
      <c r="A7" s="219" t="s">
        <v>56</v>
      </c>
      <c r="B7" s="86" t="s">
        <v>57</v>
      </c>
      <c r="C7" s="126">
        <v>920</v>
      </c>
      <c r="D7" s="13"/>
      <c r="E7" s="145"/>
      <c r="F7" s="13"/>
      <c r="G7" s="9">
        <f t="shared" ref="G7:G18" si="0">C7+E7</f>
        <v>920</v>
      </c>
      <c r="H7" s="426"/>
      <c r="I7" s="229"/>
      <c r="J7" s="353" t="s">
        <v>74</v>
      </c>
      <c r="K7" s="354" t="s">
        <v>75</v>
      </c>
      <c r="M7" s="49">
        <f>44.63+44.55+46.53+37.32</f>
        <v>173.03</v>
      </c>
      <c r="N7" s="50">
        <f>55.15+56.63+56.85+56.65</f>
        <v>225.28</v>
      </c>
      <c r="O7" s="50"/>
      <c r="P7" s="50"/>
      <c r="Q7" s="50"/>
      <c r="R7" s="50"/>
      <c r="S7" s="51"/>
      <c r="T7" s="51"/>
      <c r="U7" s="51"/>
      <c r="V7" s="51"/>
      <c r="W7" s="51"/>
      <c r="X7" s="443">
        <f t="shared" ref="X7" si="1">M7+N7+O7+P7+Q7+R7+W7+S7+T7+U7+V7</f>
        <v>398.31</v>
      </c>
      <c r="Y7" s="120">
        <f>X6-X7</f>
        <v>98.56</v>
      </c>
    </row>
    <row r="8" spans="1:26">
      <c r="A8" s="220" t="s">
        <v>58</v>
      </c>
      <c r="B8" s="76" t="s">
        <v>59</v>
      </c>
      <c r="C8" s="144">
        <f>500+2145</f>
        <v>2645</v>
      </c>
      <c r="D8" s="14"/>
      <c r="E8" s="146"/>
      <c r="F8" s="14"/>
      <c r="G8" s="9">
        <f t="shared" si="0"/>
        <v>2645</v>
      </c>
      <c r="H8" s="1"/>
      <c r="I8" s="229"/>
      <c r="J8" s="355" t="s">
        <v>78</v>
      </c>
      <c r="K8" s="356">
        <v>13</v>
      </c>
      <c r="X8" s="221"/>
      <c r="Z8" s="1"/>
    </row>
    <row r="9" spans="1:26">
      <c r="A9" s="217" t="s">
        <v>60</v>
      </c>
      <c r="B9" s="75" t="s">
        <v>61</v>
      </c>
      <c r="C9" s="257">
        <f>((3000/20*10+200.96*15+197.35*12+210+247.5+120)-C14)*1.42</f>
        <v>5623.3419999999987</v>
      </c>
      <c r="D9" s="141">
        <f>C9+C10+C11+C14+C12+C13</f>
        <v>15131.689448023997</v>
      </c>
      <c r="E9" s="249"/>
      <c r="F9" s="128">
        <f>E9+E10+E11+E14+E12</f>
        <v>0</v>
      </c>
      <c r="G9" s="21">
        <f t="shared" si="0"/>
        <v>5623.3419999999987</v>
      </c>
      <c r="H9" s="427">
        <f>G9+G10+G11+G14+G12+G13</f>
        <v>15131.689448023997</v>
      </c>
      <c r="I9" s="229"/>
      <c r="J9" s="357" t="s">
        <v>81</v>
      </c>
      <c r="K9" s="358">
        <v>12</v>
      </c>
      <c r="X9" s="221"/>
    </row>
    <row r="10" spans="1:26">
      <c r="A10" s="219" t="s">
        <v>62</v>
      </c>
      <c r="B10" s="86" t="s">
        <v>63</v>
      </c>
      <c r="C10" s="126">
        <f>C9*0.2359</f>
        <v>1326.5463777999996</v>
      </c>
      <c r="D10" s="13"/>
      <c r="E10" s="250">
        <f>E9*0.2359</f>
        <v>0</v>
      </c>
      <c r="F10" s="83"/>
      <c r="G10" s="22">
        <f t="shared" si="0"/>
        <v>1326.5463777999996</v>
      </c>
      <c r="H10" s="1"/>
      <c r="I10" s="229"/>
      <c r="X10" s="221"/>
    </row>
    <row r="11" spans="1:26">
      <c r="A11" s="219" t="s">
        <v>65</v>
      </c>
      <c r="B11" s="86" t="s">
        <v>66</v>
      </c>
      <c r="C11" s="126">
        <f>(C9+C10)*0.08</f>
        <v>555.99107022399983</v>
      </c>
      <c r="D11" s="13"/>
      <c r="E11" s="250">
        <f>(E9+E10)*0.08</f>
        <v>0</v>
      </c>
      <c r="F11" s="83"/>
      <c r="G11" s="22">
        <f t="shared" si="0"/>
        <v>555.99107022399983</v>
      </c>
      <c r="H11" s="1"/>
      <c r="I11" s="229"/>
      <c r="J11" s="674" t="s">
        <v>85</v>
      </c>
      <c r="K11" s="675"/>
      <c r="X11" s="221"/>
    </row>
    <row r="12" spans="1:26">
      <c r="A12" s="222" t="s">
        <v>68</v>
      </c>
      <c r="B12" s="92" t="s">
        <v>21</v>
      </c>
      <c r="C12" s="127">
        <f>(C4)*0.07</f>
        <v>3045.0000000000005</v>
      </c>
      <c r="D12" s="133"/>
      <c r="E12" s="250">
        <f>(E14+E11+E10+E9)*0.07</f>
        <v>0</v>
      </c>
      <c r="F12" s="123"/>
      <c r="G12" s="22">
        <f t="shared" si="0"/>
        <v>3045.0000000000005</v>
      </c>
      <c r="H12" s="1"/>
      <c r="I12" s="229"/>
      <c r="J12" s="359" t="s">
        <v>50</v>
      </c>
      <c r="K12" s="360">
        <v>5386.93</v>
      </c>
      <c r="X12" s="221"/>
    </row>
    <row r="13" spans="1:26">
      <c r="A13" s="222"/>
      <c r="B13" s="523" t="s">
        <v>334</v>
      </c>
      <c r="C13" s="259">
        <v>1080.81</v>
      </c>
      <c r="D13" s="252"/>
      <c r="E13" s="250"/>
      <c r="F13" s="524"/>
      <c r="G13" s="525">
        <f>C13</f>
        <v>1080.81</v>
      </c>
      <c r="H13" s="1"/>
      <c r="I13" s="229"/>
      <c r="J13" s="495"/>
      <c r="K13" s="496"/>
      <c r="X13" s="221"/>
    </row>
    <row r="14" spans="1:26">
      <c r="A14" s="219" t="s">
        <v>69</v>
      </c>
      <c r="B14" s="86" t="s">
        <v>70</v>
      </c>
      <c r="C14" s="130">
        <f>14*5*50</f>
        <v>3500</v>
      </c>
      <c r="D14" s="134"/>
      <c r="E14" s="251"/>
      <c r="F14" s="125"/>
      <c r="G14" s="23">
        <f t="shared" si="0"/>
        <v>3500</v>
      </c>
      <c r="H14" s="428"/>
      <c r="I14" s="229"/>
      <c r="J14" s="361" t="s">
        <v>53</v>
      </c>
      <c r="K14" s="362">
        <f>G6+G7</f>
        <v>4662.55</v>
      </c>
      <c r="X14" s="221"/>
    </row>
    <row r="15" spans="1:26">
      <c r="A15" s="223" t="s">
        <v>72</v>
      </c>
      <c r="B15" s="75" t="s">
        <v>73</v>
      </c>
      <c r="C15" s="126">
        <f>313.19+1115</f>
        <v>1428.19</v>
      </c>
      <c r="D15" s="13">
        <f>C15+C18+C16</f>
        <v>3684.6099999999997</v>
      </c>
      <c r="E15" s="250"/>
      <c r="F15" s="13">
        <f>E15+E18+E16</f>
        <v>0</v>
      </c>
      <c r="G15" s="9">
        <f t="shared" si="0"/>
        <v>1428.19</v>
      </c>
      <c r="H15" s="1">
        <f>G15+G18+G16+G19</f>
        <v>3684.6099999999997</v>
      </c>
      <c r="I15" s="229"/>
      <c r="X15" s="221"/>
    </row>
    <row r="16" spans="1:26">
      <c r="A16" s="224" t="s">
        <v>76</v>
      </c>
      <c r="B16" s="86" t="s">
        <v>77</v>
      </c>
      <c r="C16" s="126">
        <f>935.04+308.83+426.24+16.6</f>
        <v>1686.7099999999998</v>
      </c>
      <c r="D16" s="13"/>
      <c r="E16" s="252"/>
      <c r="F16" s="13"/>
      <c r="G16" s="9">
        <f t="shared" si="0"/>
        <v>1686.7099999999998</v>
      </c>
      <c r="H16" s="1"/>
      <c r="I16" s="229"/>
      <c r="J16" s="651" t="s">
        <v>89</v>
      </c>
      <c r="K16" s="652"/>
      <c r="X16" s="221"/>
    </row>
    <row r="17" spans="1:24">
      <c r="A17" s="224" t="s">
        <v>139</v>
      </c>
      <c r="B17" s="86" t="s">
        <v>140</v>
      </c>
      <c r="C17" s="126"/>
      <c r="D17" s="13"/>
      <c r="E17" s="252"/>
      <c r="F17" s="13"/>
      <c r="G17" s="9"/>
      <c r="H17" s="1"/>
      <c r="I17" s="229"/>
      <c r="J17" s="359" t="s">
        <v>50</v>
      </c>
      <c r="K17" s="360">
        <v>11962.85</v>
      </c>
      <c r="X17" s="221"/>
    </row>
    <row r="18" spans="1:24">
      <c r="A18" s="219" t="s">
        <v>79</v>
      </c>
      <c r="B18" s="86" t="s">
        <v>80</v>
      </c>
      <c r="C18" s="594">
        <f>141.17+36+7.1*3+14.6*2+4.7*3+6*7+25+49.15+99.72+18.75+93.32</f>
        <v>569.71</v>
      </c>
      <c r="D18" s="13"/>
      <c r="E18" s="252"/>
      <c r="F18" s="13"/>
      <c r="G18" s="9">
        <f t="shared" si="0"/>
        <v>569.71</v>
      </c>
      <c r="H18" s="1"/>
      <c r="I18" s="229"/>
      <c r="J18" s="363" t="s">
        <v>53</v>
      </c>
      <c r="K18" s="364">
        <f>H9-G12</f>
        <v>12086.689448023997</v>
      </c>
      <c r="X18" s="221"/>
    </row>
    <row r="19" spans="1:24">
      <c r="A19" s="219"/>
      <c r="B19" s="86"/>
      <c r="C19" s="17"/>
      <c r="D19" s="13"/>
      <c r="E19" s="13"/>
      <c r="F19" s="13"/>
      <c r="G19" s="9"/>
      <c r="H19" s="1"/>
      <c r="I19" s="229"/>
      <c r="J19" s="375" t="s">
        <v>322</v>
      </c>
      <c r="K19" s="440">
        <f>K17/X6</f>
        <v>24.076418379052871</v>
      </c>
      <c r="X19" s="221"/>
    </row>
    <row r="20" spans="1:24">
      <c r="A20" s="391" t="s">
        <v>82</v>
      </c>
      <c r="B20" s="344" t="s">
        <v>83</v>
      </c>
      <c r="C20" s="345">
        <f>C4-C5</f>
        <v>17376.150551976003</v>
      </c>
      <c r="D20" s="405">
        <f>C20/C4</f>
        <v>0.39945173682703455</v>
      </c>
      <c r="E20" s="448">
        <f>E4-E5</f>
        <v>43500</v>
      </c>
      <c r="F20" s="346">
        <f>E20/E4</f>
        <v>1</v>
      </c>
      <c r="G20" s="348">
        <f>G4-G5</f>
        <v>17376.150551976003</v>
      </c>
      <c r="H20" s="405">
        <f>G20/G4</f>
        <v>0.39945173682703455</v>
      </c>
      <c r="I20" s="229"/>
      <c r="J20" s="377" t="s">
        <v>141</v>
      </c>
      <c r="K20" s="409">
        <f>K18/X7</f>
        <v>30.344930953337844</v>
      </c>
      <c r="X20" s="221"/>
    </row>
    <row r="21" spans="1:24">
      <c r="A21" s="393" t="s">
        <v>142</v>
      </c>
      <c r="B21" s="339" t="s">
        <v>143</v>
      </c>
      <c r="C21" s="339"/>
      <c r="D21" s="339"/>
      <c r="E21" s="339"/>
      <c r="F21" s="339"/>
      <c r="G21" s="433">
        <f>K4-33775.88</f>
        <v>9724.1200000000026</v>
      </c>
      <c r="H21" s="452">
        <f>(K4-33775.88)/K4</f>
        <v>0.22354298850574719</v>
      </c>
      <c r="I21" s="229"/>
      <c r="M21" s="644" t="s">
        <v>90</v>
      </c>
      <c r="N21" s="645"/>
      <c r="O21" s="645"/>
      <c r="P21" s="645"/>
      <c r="Q21" s="645"/>
      <c r="R21" s="645"/>
      <c r="S21" s="645"/>
      <c r="T21" s="645"/>
      <c r="U21" s="645"/>
      <c r="V21" s="645"/>
      <c r="W21" s="646"/>
      <c r="X21" s="324"/>
    </row>
    <row r="22" spans="1:24" ht="24" customHeight="1">
      <c r="A22" s="229"/>
      <c r="C22" s="101"/>
      <c r="D22" s="101"/>
      <c r="E22" s="101"/>
      <c r="F22" s="101"/>
      <c r="I22" s="229"/>
      <c r="J22" s="373" t="s">
        <v>100</v>
      </c>
      <c r="K22" s="374"/>
      <c r="M22" s="28" t="s">
        <v>329</v>
      </c>
      <c r="N22" s="29" t="s">
        <v>335</v>
      </c>
      <c r="O22" s="28" t="s">
        <v>331</v>
      </c>
      <c r="P22" s="29" t="s">
        <v>336</v>
      </c>
      <c r="Q22" s="29" t="str">
        <f>Q4</f>
        <v>15/05-21/05</v>
      </c>
      <c r="R22" s="29"/>
      <c r="S22" s="28"/>
      <c r="T22" s="28"/>
      <c r="U22" s="28"/>
      <c r="V22" s="28"/>
      <c r="W22" s="28"/>
      <c r="X22" s="684" t="s">
        <v>49</v>
      </c>
    </row>
    <row r="23" spans="1:24">
      <c r="A23" s="395" t="s">
        <v>86</v>
      </c>
      <c r="B23" s="412" t="s">
        <v>144</v>
      </c>
      <c r="C23" s="445" t="s">
        <v>145</v>
      </c>
      <c r="D23" s="103"/>
      <c r="E23" s="103"/>
      <c r="F23" s="103"/>
      <c r="I23" s="229"/>
      <c r="J23" s="367" t="s">
        <v>50</v>
      </c>
      <c r="K23" s="368">
        <f>X6/K6</f>
        <v>7.784270719097603</v>
      </c>
      <c r="M23" s="66">
        <v>1</v>
      </c>
      <c r="N23" s="66">
        <v>2</v>
      </c>
      <c r="O23" s="66">
        <v>3</v>
      </c>
      <c r="P23" s="66">
        <v>4</v>
      </c>
      <c r="Q23" s="66">
        <v>5</v>
      </c>
      <c r="R23" s="66">
        <v>6</v>
      </c>
      <c r="S23" s="66">
        <v>7</v>
      </c>
      <c r="T23" s="66">
        <v>8</v>
      </c>
      <c r="U23" s="66">
        <v>9</v>
      </c>
      <c r="V23" s="66">
        <v>10</v>
      </c>
      <c r="W23" s="66">
        <v>11</v>
      </c>
      <c r="X23" s="685"/>
    </row>
    <row r="24" spans="1:24">
      <c r="A24" s="226" t="s">
        <v>88</v>
      </c>
      <c r="B24" s="449">
        <f>H6/G5</f>
        <v>0.2797271517943441</v>
      </c>
      <c r="C24" s="410">
        <f>5386.93/33775.88</f>
        <v>0.15949044110767804</v>
      </c>
      <c r="D24" s="103"/>
      <c r="E24" s="103"/>
      <c r="F24" s="103"/>
      <c r="I24" s="229"/>
      <c r="J24" s="369" t="s">
        <v>53</v>
      </c>
      <c r="K24" s="370">
        <f>X7/K6</f>
        <v>6.2401691994360018</v>
      </c>
      <c r="M24" s="69">
        <f>X24/2</f>
        <v>2740</v>
      </c>
      <c r="N24" s="69">
        <f>M24</f>
        <v>2740</v>
      </c>
      <c r="O24" s="69">
        <f>M24</f>
        <v>2740</v>
      </c>
      <c r="P24" s="69">
        <f>O24</f>
        <v>2740</v>
      </c>
      <c r="Q24" s="69"/>
      <c r="R24" s="69"/>
      <c r="S24" s="69"/>
      <c r="T24" s="69"/>
      <c r="U24" s="69"/>
      <c r="V24" s="69"/>
      <c r="W24" s="69"/>
      <c r="X24" s="326">
        <f>K28</f>
        <v>5480</v>
      </c>
    </row>
    <row r="25" spans="1:24">
      <c r="A25" s="227" t="s">
        <v>89</v>
      </c>
      <c r="B25" s="449">
        <f>H9/G5</f>
        <v>0.5792289332446966</v>
      </c>
      <c r="C25" s="410">
        <f>11962.85/33775.88</f>
        <v>0.35418322187312368</v>
      </c>
      <c r="D25" s="103"/>
      <c r="E25" s="103"/>
      <c r="F25" s="103"/>
      <c r="I25" s="229"/>
      <c r="J25" s="365" t="s">
        <v>146</v>
      </c>
      <c r="K25" s="477">
        <f>K24*K20</f>
        <v>189.35750349403096</v>
      </c>
      <c r="M25" s="71">
        <f>1115</f>
        <v>1115</v>
      </c>
      <c r="N25" s="72">
        <f>313.19+935.04+426.24+308.83</f>
        <v>1983.3</v>
      </c>
      <c r="O25" s="72"/>
      <c r="P25" s="72"/>
      <c r="Q25" s="72"/>
      <c r="R25" s="72"/>
      <c r="S25" s="72"/>
      <c r="T25" s="72"/>
      <c r="U25" s="72"/>
      <c r="V25" s="72"/>
      <c r="W25" s="72"/>
      <c r="X25" s="398">
        <f t="shared" ref="X25" si="2">M25+N25+O25+P25+Q25+R25+W25+S25+T25+U25+V25</f>
        <v>3098.3</v>
      </c>
    </row>
    <row r="26" spans="1:24">
      <c r="A26" s="228" t="s">
        <v>91</v>
      </c>
      <c r="B26" s="450">
        <f>H15/G5</f>
        <v>0.14104391496095928</v>
      </c>
      <c r="C26" s="381">
        <f>16426.11/33775.88</f>
        <v>0.48632663308846436</v>
      </c>
      <c r="I26" s="229"/>
      <c r="X26" s="221"/>
    </row>
    <row r="27" spans="1:24">
      <c r="A27" s="229"/>
      <c r="I27" s="229"/>
      <c r="J27" s="371" t="s">
        <v>90</v>
      </c>
      <c r="K27" s="372"/>
      <c r="X27" s="221"/>
    </row>
    <row r="28" spans="1:24" ht="26.25" customHeight="1">
      <c r="A28" s="229"/>
      <c r="I28" s="229"/>
      <c r="J28" s="359" t="s">
        <v>50</v>
      </c>
      <c r="K28" s="360">
        <v>5480</v>
      </c>
      <c r="X28" s="221"/>
    </row>
    <row r="29" spans="1:24" ht="27.75" customHeight="1">
      <c r="A29" s="229"/>
      <c r="I29" s="229"/>
      <c r="J29" s="363" t="s">
        <v>53</v>
      </c>
      <c r="K29" s="364">
        <f>G15+G16</f>
        <v>3114.8999999999996</v>
      </c>
      <c r="X29" s="221"/>
    </row>
    <row r="30" spans="1:24">
      <c r="A30" s="229"/>
      <c r="I30" s="229"/>
      <c r="J30" s="365" t="s">
        <v>147</v>
      </c>
      <c r="K30" s="366">
        <f>K29/X7</f>
        <v>7.8202907283271816</v>
      </c>
      <c r="X30" s="221"/>
    </row>
    <row r="31" spans="1:24">
      <c r="A31" s="229"/>
      <c r="I31" s="229"/>
      <c r="X31" s="221"/>
    </row>
    <row r="32" spans="1:24">
      <c r="A32" s="229"/>
      <c r="I32" s="229"/>
      <c r="J32" s="189" t="s">
        <v>92</v>
      </c>
      <c r="K32" s="136"/>
      <c r="X32" s="221"/>
    </row>
    <row r="33" spans="1:24" ht="27.75">
      <c r="A33" s="229"/>
      <c r="I33" s="229"/>
      <c r="J33" s="10" t="s">
        <v>93</v>
      </c>
      <c r="K33" s="136"/>
      <c r="X33" s="221"/>
    </row>
    <row r="34" spans="1:24">
      <c r="A34" s="229"/>
      <c r="I34" s="229"/>
      <c r="X34" s="221"/>
    </row>
    <row r="35" spans="1:24">
      <c r="A35" s="229"/>
      <c r="I35" s="229"/>
      <c r="J35" s="673" t="s">
        <v>94</v>
      </c>
      <c r="K35" s="673"/>
      <c r="X35" s="221"/>
    </row>
    <row r="36" spans="1:24">
      <c r="A36" s="229"/>
      <c r="I36" s="229"/>
      <c r="J36" s="725">
        <v>45639</v>
      </c>
      <c r="K36" s="725"/>
      <c r="X36" s="221"/>
    </row>
    <row r="37" spans="1:24">
      <c r="A37" s="230"/>
      <c r="B37" s="231"/>
      <c r="C37" s="231"/>
      <c r="D37" s="231"/>
      <c r="E37" s="231"/>
      <c r="F37" s="231"/>
      <c r="G37" s="231"/>
      <c r="H37" s="231"/>
      <c r="I37" s="230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2"/>
    </row>
    <row r="46" spans="1:24">
      <c r="B46" s="110"/>
      <c r="C46" s="175"/>
      <c r="D46" s="175"/>
      <c r="E46" s="330"/>
    </row>
    <row r="47" spans="1:24">
      <c r="B47" s="295"/>
      <c r="E47" s="331"/>
    </row>
    <row r="48" spans="1:24">
      <c r="B48" s="295"/>
      <c r="E48" s="331"/>
    </row>
    <row r="49" spans="2:6">
      <c r="B49" s="295"/>
      <c r="E49" s="331"/>
    </row>
    <row r="50" spans="2:6">
      <c r="B50" s="295"/>
      <c r="C50" s="181"/>
      <c r="D50" s="181"/>
      <c r="E50" s="332"/>
      <c r="F50" s="295"/>
    </row>
    <row r="51" spans="2:6">
      <c r="B51" s="295"/>
      <c r="C51" s="175"/>
      <c r="D51" s="175"/>
      <c r="E51" s="330"/>
    </row>
    <row r="52" spans="2:6">
      <c r="B52" s="295"/>
      <c r="E52" s="331"/>
      <c r="F52" s="296"/>
    </row>
    <row r="56" spans="2:6">
      <c r="B56" s="295"/>
    </row>
    <row r="57" spans="2:6">
      <c r="B57" s="295"/>
    </row>
    <row r="58" spans="2:6">
      <c r="B58" s="295"/>
    </row>
    <row r="59" spans="2:6">
      <c r="B59" s="295"/>
    </row>
  </sheetData>
  <mergeCells count="15">
    <mergeCell ref="J36:K36"/>
    <mergeCell ref="J35:K35"/>
    <mergeCell ref="B1:X1"/>
    <mergeCell ref="A2:H2"/>
    <mergeCell ref="J2:X2"/>
    <mergeCell ref="C3:D3"/>
    <mergeCell ref="E3:F3"/>
    <mergeCell ref="G3:H3"/>
    <mergeCell ref="J3:K3"/>
    <mergeCell ref="M3:W3"/>
    <mergeCell ref="X4:X5"/>
    <mergeCell ref="M21:W21"/>
    <mergeCell ref="J11:K11"/>
    <mergeCell ref="J16:K16"/>
    <mergeCell ref="X22:X23"/>
  </mergeCells>
  <conditionalFormatting sqref="K8">
    <cfRule type="cellIs" dxfId="39" priority="7" operator="greaterThan">
      <formula>$K$7</formula>
    </cfRule>
  </conditionalFormatting>
  <conditionalFormatting sqref="K14">
    <cfRule type="cellIs" dxfId="38" priority="6" operator="greaterThan">
      <formula>$K$12</formula>
    </cfRule>
  </conditionalFormatting>
  <conditionalFormatting sqref="K18">
    <cfRule type="cellIs" dxfId="37" priority="4" operator="greaterThan">
      <formula>$K$17</formula>
    </cfRule>
  </conditionalFormatting>
  <conditionalFormatting sqref="K20">
    <cfRule type="cellIs" dxfId="36" priority="3" operator="greaterThan">
      <formula>$K$19</formula>
    </cfRule>
  </conditionalFormatting>
  <conditionalFormatting sqref="K22">
    <cfRule type="cellIs" dxfId="35" priority="9" operator="greaterThan">
      <formula>$K$21</formula>
    </cfRule>
  </conditionalFormatting>
  <conditionalFormatting sqref="K24">
    <cfRule type="cellIs" dxfId="34" priority="2" operator="greaterThan">
      <formula>$K$23</formula>
    </cfRule>
  </conditionalFormatting>
  <conditionalFormatting sqref="K29">
    <cfRule type="cellIs" dxfId="33" priority="1" operator="greaterThan">
      <formula>$K$28</formula>
    </cfRule>
  </conditionalFormatting>
  <conditionalFormatting sqref="X7">
    <cfRule type="cellIs" dxfId="32" priority="5" operator="greaterThan">
      <formula>$X$6</formula>
    </cfRule>
  </conditionalFormatting>
  <pageMargins left="0.7" right="0.7" top="0.75" bottom="0.75" header="0.3" footer="0.3"/>
  <pageSetup paperSize="9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D07F-7092-415F-95CC-4789E130117D}">
  <sheetPr>
    <pageSetUpPr fitToPage="1"/>
  </sheetPr>
  <dimension ref="A1:Y38"/>
  <sheetViews>
    <sheetView workbookViewId="0">
      <selection activeCell="X6" sqref="X6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2.28515625" customWidth="1"/>
    <col min="4" max="5" width="10.7109375" customWidth="1"/>
    <col min="6" max="6" width="10.140625" customWidth="1"/>
    <col min="7" max="8" width="10.7109375" customWidth="1"/>
    <col min="9" max="9" width="3.28515625" customWidth="1"/>
    <col min="10" max="10" width="25.5703125" customWidth="1"/>
    <col min="11" max="11" width="18.140625" bestFit="1" customWidth="1"/>
    <col min="12" max="12" width="2.85546875" customWidth="1"/>
    <col min="13" max="13" width="15" customWidth="1"/>
    <col min="14" max="14" width="10.7109375" customWidth="1"/>
    <col min="15" max="16" width="10.7109375" hidden="1" customWidth="1" outlineLevel="1"/>
    <col min="17" max="22" width="12.7109375" hidden="1" customWidth="1" outlineLevel="1"/>
    <col min="23" max="23" width="3.28515625" hidden="1" customWidth="1" outlineLevel="1"/>
    <col min="24" max="24" width="12.7109375" customWidth="1" collapsed="1"/>
    <col min="25" max="25" width="12.7109375" customWidth="1"/>
  </cols>
  <sheetData>
    <row r="1" spans="1:25" ht="25.5">
      <c r="A1" s="187" t="s">
        <v>337</v>
      </c>
      <c r="B1" s="728" t="s">
        <v>338</v>
      </c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28"/>
      <c r="Q1" s="728"/>
      <c r="R1" s="728"/>
      <c r="S1" s="728"/>
      <c r="T1" s="728"/>
      <c r="U1" s="728"/>
      <c r="V1" s="728"/>
      <c r="W1" s="728"/>
      <c r="X1" s="728"/>
    </row>
    <row r="2" spans="1:25" ht="18.75">
      <c r="A2" s="681" t="s">
        <v>30</v>
      </c>
      <c r="B2" s="636"/>
      <c r="C2" s="636"/>
      <c r="D2" s="636"/>
      <c r="E2" s="636"/>
      <c r="F2" s="636"/>
      <c r="G2" s="636"/>
      <c r="H2" s="636"/>
      <c r="I2" s="453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707"/>
    </row>
    <row r="3" spans="1:25">
      <c r="A3" s="229"/>
      <c r="C3" s="640" t="s">
        <v>339</v>
      </c>
      <c r="D3" s="641"/>
      <c r="E3" s="640" t="s">
        <v>328</v>
      </c>
      <c r="F3" s="641"/>
      <c r="G3" s="642" t="s">
        <v>36</v>
      </c>
      <c r="H3" s="724"/>
      <c r="I3" s="229"/>
      <c r="J3" s="670" t="s">
        <v>138</v>
      </c>
      <c r="K3" s="671"/>
      <c r="L3" s="110"/>
      <c r="M3" s="631" t="s">
        <v>13</v>
      </c>
      <c r="N3" s="632"/>
      <c r="O3" s="632"/>
      <c r="P3" s="632"/>
      <c r="Q3" s="632"/>
      <c r="R3" s="632"/>
      <c r="S3" s="632"/>
      <c r="T3" s="632"/>
      <c r="U3" s="632"/>
      <c r="V3" s="632"/>
      <c r="W3" s="633"/>
      <c r="X3" s="324"/>
    </row>
    <row r="4" spans="1:25" ht="16.5" customHeight="1">
      <c r="A4" s="216" t="s">
        <v>40</v>
      </c>
      <c r="B4" s="5" t="s">
        <v>41</v>
      </c>
      <c r="C4" s="198">
        <f>K4</f>
        <v>12955.25</v>
      </c>
      <c r="D4">
        <f>X7</f>
        <v>205.51</v>
      </c>
      <c r="E4" s="198">
        <f>K5</f>
        <v>2797.7</v>
      </c>
      <c r="F4" s="11"/>
      <c r="G4" s="135">
        <f>C4+E4</f>
        <v>15752.95</v>
      </c>
      <c r="H4" s="451">
        <f>D4+F4</f>
        <v>205.51</v>
      </c>
      <c r="I4" s="229"/>
      <c r="J4" s="349" t="s">
        <v>64</v>
      </c>
      <c r="K4" s="350">
        <f>12000+955.25</f>
        <v>12955.25</v>
      </c>
      <c r="L4" s="110"/>
      <c r="M4" s="29" t="s">
        <v>340</v>
      </c>
      <c r="N4" s="28"/>
      <c r="O4" s="29"/>
      <c r="P4" s="29"/>
      <c r="Q4" s="29"/>
      <c r="R4" s="29"/>
      <c r="S4" s="29"/>
      <c r="T4" s="29"/>
      <c r="U4" s="29"/>
      <c r="V4" s="29"/>
      <c r="W4" s="29"/>
      <c r="X4" s="682" t="s">
        <v>49</v>
      </c>
    </row>
    <row r="5" spans="1:25">
      <c r="A5" s="216" t="s">
        <v>51</v>
      </c>
      <c r="B5" s="5" t="s">
        <v>52</v>
      </c>
      <c r="C5" s="161">
        <f>C6+C7+C8+C9+C10+C11+C13+C14+C17+C15+C12+C16</f>
        <v>8524.0513309559992</v>
      </c>
      <c r="D5" s="5"/>
      <c r="E5" s="161">
        <f>E6+E7+E8+E9+E10+E11+E13+E14+E17+E15+E12</f>
        <v>819.77787611199994</v>
      </c>
      <c r="F5" s="12"/>
      <c r="G5" s="8">
        <f>G6+G7+G8+G9+G10+G11+G13+G14+G17+G15+G12</f>
        <v>9343.829207068</v>
      </c>
      <c r="H5" s="425"/>
      <c r="I5" s="229"/>
      <c r="J5" s="399" t="s">
        <v>67</v>
      </c>
      <c r="K5" s="400">
        <f>1460.2+1337.5</f>
        <v>2797.7</v>
      </c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683"/>
    </row>
    <row r="6" spans="1:25">
      <c r="A6" s="217" t="s">
        <v>54</v>
      </c>
      <c r="B6" s="75" t="s">
        <v>55</v>
      </c>
      <c r="C6" s="17">
        <f>332.06+95.3+31.95+59.2+40.4+105.77+84.11+80.15+27+119.07+268.62</f>
        <v>1243.6300000000001</v>
      </c>
      <c r="D6" s="13">
        <f>C6+C7+C8</f>
        <v>1748.44</v>
      </c>
      <c r="E6" s="252">
        <v>56.04</v>
      </c>
      <c r="F6" s="13">
        <f>E6+E7+E8</f>
        <v>56.04</v>
      </c>
      <c r="G6" s="9">
        <f>C6+E6</f>
        <v>1299.67</v>
      </c>
      <c r="H6" s="426">
        <f>G6+G7+G8</f>
        <v>1804.48</v>
      </c>
      <c r="I6" s="229"/>
      <c r="J6" s="351" t="s">
        <v>71</v>
      </c>
      <c r="K6" s="352">
        <v>74.75</v>
      </c>
      <c r="M6" s="40">
        <f>X6-24</f>
        <v>193.35</v>
      </c>
      <c r="N6" s="40">
        <v>24</v>
      </c>
      <c r="O6" s="40"/>
      <c r="P6" s="40"/>
      <c r="Q6" s="40"/>
      <c r="R6" s="40"/>
      <c r="S6" s="41"/>
      <c r="T6" s="41"/>
      <c r="U6" s="41"/>
      <c r="V6" s="41"/>
      <c r="W6" s="41"/>
      <c r="X6" s="218">
        <f>164.75+28.6+24</f>
        <v>217.35</v>
      </c>
    </row>
    <row r="7" spans="1:25">
      <c r="A7" s="219" t="s">
        <v>56</v>
      </c>
      <c r="B7" s="86" t="s">
        <v>57</v>
      </c>
      <c r="C7" s="126"/>
      <c r="D7" s="13"/>
      <c r="E7" s="252"/>
      <c r="F7" s="13"/>
      <c r="G7" s="9">
        <f t="shared" ref="G7:G17" si="0">C7+E7</f>
        <v>0</v>
      </c>
      <c r="H7" s="426"/>
      <c r="I7" s="229"/>
      <c r="J7" s="353" t="s">
        <v>74</v>
      </c>
      <c r="K7" s="354" t="s">
        <v>75</v>
      </c>
      <c r="M7" s="168">
        <f>59.33+59.28+59.15-20.55+10.8+12.5</f>
        <v>180.51</v>
      </c>
      <c r="N7" s="50">
        <v>25</v>
      </c>
      <c r="O7" s="50"/>
      <c r="P7" s="50"/>
      <c r="Q7" s="50"/>
      <c r="R7" s="50"/>
      <c r="S7" s="51"/>
      <c r="T7" s="51"/>
      <c r="U7" s="51"/>
      <c r="V7" s="51"/>
      <c r="W7" s="51"/>
      <c r="X7" s="469">
        <f t="shared" ref="X7" si="1">M7+N7+O7+P7+Q7+R7+W7+S7+T7+U7+V7</f>
        <v>205.51</v>
      </c>
      <c r="Y7" s="120">
        <f>X6-X7</f>
        <v>11.840000000000003</v>
      </c>
    </row>
    <row r="8" spans="1:25">
      <c r="A8" s="220" t="s">
        <v>58</v>
      </c>
      <c r="B8" s="76" t="s">
        <v>59</v>
      </c>
      <c r="C8" s="144">
        <f>32.72+36.59+75.5+360</f>
        <v>504.81</v>
      </c>
      <c r="D8" s="14"/>
      <c r="E8" s="14"/>
      <c r="F8" s="14"/>
      <c r="G8" s="9">
        <f t="shared" si="0"/>
        <v>504.81</v>
      </c>
      <c r="H8" s="1"/>
      <c r="I8" s="229"/>
      <c r="J8" s="355" t="s">
        <v>78</v>
      </c>
      <c r="K8" s="356">
        <v>13</v>
      </c>
      <c r="X8" s="221"/>
    </row>
    <row r="9" spans="1:25">
      <c r="A9" s="217" t="s">
        <v>60</v>
      </c>
      <c r="B9" s="75" t="s">
        <v>61</v>
      </c>
      <c r="C9" s="129">
        <f>1553.25*1.42+372.4*1.42+(12.5*12-90)*1.42</f>
        <v>2819.6229999999996</v>
      </c>
      <c r="D9" s="141">
        <f>C9+C10+C11+C13+C12</f>
        <v>5480.421330956</v>
      </c>
      <c r="E9" s="249">
        <f>340*1.42</f>
        <v>482.79999999999995</v>
      </c>
      <c r="F9" s="128">
        <f>E9+E10+E11+E13+E12</f>
        <v>753.73787611199998</v>
      </c>
      <c r="G9" s="21">
        <f t="shared" si="0"/>
        <v>3302.4229999999998</v>
      </c>
      <c r="H9" s="427">
        <f>G9+G10+G11+G13+G12</f>
        <v>6234.159207067999</v>
      </c>
      <c r="I9" s="229"/>
      <c r="J9" s="357" t="s">
        <v>81</v>
      </c>
      <c r="K9" s="358">
        <v>12</v>
      </c>
      <c r="X9" s="221"/>
    </row>
    <row r="10" spans="1:25">
      <c r="A10" s="219" t="s">
        <v>62</v>
      </c>
      <c r="B10" s="86" t="s">
        <v>63</v>
      </c>
      <c r="C10" s="126">
        <f>C9*0.2359</f>
        <v>665.14906569999994</v>
      </c>
      <c r="D10" s="13"/>
      <c r="E10" s="250">
        <f>E9*0.2359</f>
        <v>113.89251999999999</v>
      </c>
      <c r="F10" s="83"/>
      <c r="G10" s="22">
        <f t="shared" si="0"/>
        <v>779.04158569999993</v>
      </c>
      <c r="H10" s="1"/>
      <c r="I10" s="229"/>
      <c r="X10" s="221"/>
    </row>
    <row r="11" spans="1:25">
      <c r="A11" s="219" t="s">
        <v>65</v>
      </c>
      <c r="B11" s="86" t="s">
        <v>66</v>
      </c>
      <c r="C11" s="126">
        <f>(C9+C10)*0.08</f>
        <v>278.78176525599997</v>
      </c>
      <c r="D11" s="13"/>
      <c r="E11" s="250">
        <f>(E9+E10)*0.08</f>
        <v>47.735401599999996</v>
      </c>
      <c r="F11" s="83"/>
      <c r="G11" s="22">
        <f t="shared" si="0"/>
        <v>326.51716685599996</v>
      </c>
      <c r="H11" s="1"/>
      <c r="I11" s="229"/>
      <c r="J11" s="674" t="s">
        <v>85</v>
      </c>
      <c r="K11" s="675"/>
      <c r="X11" s="221"/>
    </row>
    <row r="12" spans="1:25">
      <c r="A12" s="222" t="s">
        <v>68</v>
      </c>
      <c r="B12" s="92" t="s">
        <v>21</v>
      </c>
      <c r="C12" s="127">
        <f>(C4)*0.07</f>
        <v>906.86750000000006</v>
      </c>
      <c r="D12" s="133"/>
      <c r="E12" s="250">
        <f>(E13+E11+E10+E9)*0.07</f>
        <v>49.309954512000004</v>
      </c>
      <c r="F12" s="123"/>
      <c r="G12" s="22">
        <f t="shared" si="0"/>
        <v>956.17745451200005</v>
      </c>
      <c r="H12" s="1"/>
      <c r="I12" s="229"/>
      <c r="J12" s="359" t="s">
        <v>50</v>
      </c>
      <c r="K12" s="360">
        <v>1328.27</v>
      </c>
      <c r="X12" s="221"/>
    </row>
    <row r="13" spans="1:25">
      <c r="A13" s="219" t="s">
        <v>69</v>
      </c>
      <c r="B13" s="86" t="s">
        <v>70</v>
      </c>
      <c r="C13" s="130">
        <f>630+180</f>
        <v>810</v>
      </c>
      <c r="D13" s="134"/>
      <c r="E13" s="251">
        <v>60</v>
      </c>
      <c r="F13" s="125"/>
      <c r="G13" s="23">
        <f t="shared" si="0"/>
        <v>870</v>
      </c>
      <c r="H13" s="428"/>
      <c r="I13" s="229"/>
      <c r="J13" s="361" t="s">
        <v>53</v>
      </c>
      <c r="K13" s="362">
        <f>G6+G7</f>
        <v>1299.67</v>
      </c>
      <c r="X13" s="221"/>
    </row>
    <row r="14" spans="1:25">
      <c r="A14" s="223" t="s">
        <v>72</v>
      </c>
      <c r="B14" s="75" t="s">
        <v>73</v>
      </c>
      <c r="C14" s="127">
        <f>300+54.4/2+234.86+108.8</f>
        <v>670.8599999999999</v>
      </c>
      <c r="D14" s="145">
        <f>C14+C17+C15+C16</f>
        <v>1295.1899999999998</v>
      </c>
      <c r="E14" s="252"/>
      <c r="F14" s="145">
        <f>E14+E17+E15</f>
        <v>10</v>
      </c>
      <c r="G14" s="9">
        <f t="shared" si="0"/>
        <v>670.8599999999999</v>
      </c>
      <c r="H14" s="1">
        <f>G14+G17+G15</f>
        <v>1305.1899999999998</v>
      </c>
      <c r="I14" s="229"/>
      <c r="X14" s="221"/>
    </row>
    <row r="15" spans="1:25">
      <c r="A15" s="224" t="s">
        <v>76</v>
      </c>
      <c r="B15" s="86" t="s">
        <v>77</v>
      </c>
      <c r="C15" s="127">
        <f>10+30</f>
        <v>40</v>
      </c>
      <c r="D15" s="13"/>
      <c r="E15" s="252"/>
      <c r="F15" s="13"/>
      <c r="G15" s="9">
        <f t="shared" si="0"/>
        <v>40</v>
      </c>
      <c r="H15" s="1"/>
      <c r="I15" s="229"/>
      <c r="J15" s="651" t="s">
        <v>89</v>
      </c>
      <c r="K15" s="652"/>
      <c r="X15" s="221"/>
    </row>
    <row r="16" spans="1:25">
      <c r="A16" s="224" t="s">
        <v>139</v>
      </c>
      <c r="B16" s="86" t="s">
        <v>140</v>
      </c>
      <c r="C16" s="127"/>
      <c r="D16" s="13"/>
      <c r="E16" s="252"/>
      <c r="F16" s="13"/>
      <c r="G16" s="9">
        <f>C16</f>
        <v>0</v>
      </c>
      <c r="H16" s="1"/>
      <c r="I16" s="229"/>
      <c r="J16" s="359" t="s">
        <v>50</v>
      </c>
      <c r="K16" s="360">
        <v>3294.95</v>
      </c>
      <c r="X16" s="221"/>
    </row>
    <row r="17" spans="1:24">
      <c r="A17" s="219" t="s">
        <v>79</v>
      </c>
      <c r="B17" s="86" t="s">
        <v>80</v>
      </c>
      <c r="C17" s="17">
        <f>125+90+2.31+0.14+9.29+85.91+200+71.68</f>
        <v>584.32999999999993</v>
      </c>
      <c r="D17" s="13"/>
      <c r="E17" s="250">
        <v>10</v>
      </c>
      <c r="F17" s="13"/>
      <c r="G17" s="9">
        <f t="shared" si="0"/>
        <v>594.32999999999993</v>
      </c>
      <c r="H17" s="1"/>
      <c r="I17" s="229"/>
      <c r="J17" s="363" t="s">
        <v>53</v>
      </c>
      <c r="K17" s="364">
        <f>H9-G12</f>
        <v>5277.9817525559993</v>
      </c>
      <c r="X17" s="221"/>
    </row>
    <row r="18" spans="1:24">
      <c r="A18" s="391" t="s">
        <v>82</v>
      </c>
      <c r="B18" s="344" t="s">
        <v>83</v>
      </c>
      <c r="C18" s="345">
        <f>C4-C5</f>
        <v>4431.1986690440008</v>
      </c>
      <c r="D18" s="405">
        <f>C18/C4</f>
        <v>0.34203883900688914</v>
      </c>
      <c r="E18" s="345">
        <f>E4-E5</f>
        <v>1977.922123888</v>
      </c>
      <c r="F18" s="346">
        <f>E18/E4</f>
        <v>0.70698149332952076</v>
      </c>
      <c r="G18" s="348">
        <f>G4-G5</f>
        <v>6409.1207929320008</v>
      </c>
      <c r="H18" s="405">
        <f>G18/G4</f>
        <v>0.40685210026896551</v>
      </c>
      <c r="I18" s="229"/>
      <c r="J18" s="375" t="s">
        <v>322</v>
      </c>
      <c r="K18" s="440">
        <f>K16/X6</f>
        <v>15.159650333563377</v>
      </c>
      <c r="X18" s="221"/>
    </row>
    <row r="19" spans="1:24">
      <c r="A19" s="393" t="s">
        <v>142</v>
      </c>
      <c r="B19" s="339"/>
      <c r="C19" s="339"/>
      <c r="D19" s="339"/>
      <c r="E19" s="339"/>
      <c r="F19" s="339"/>
      <c r="G19" s="433">
        <f>K4-9034.93</f>
        <v>3920.3199999999997</v>
      </c>
      <c r="H19" s="452">
        <f>G19/K4</f>
        <v>0.30260473553192718</v>
      </c>
      <c r="I19" s="229"/>
      <c r="J19" s="377" t="s">
        <v>141</v>
      </c>
      <c r="K19" s="409">
        <f>K17/X7</f>
        <v>25.682359751622791</v>
      </c>
      <c r="M19" s="631" t="s">
        <v>90</v>
      </c>
      <c r="N19" s="632"/>
      <c r="O19" s="632"/>
      <c r="P19" s="632"/>
      <c r="Q19" s="632"/>
      <c r="R19" s="632"/>
      <c r="S19" s="632"/>
      <c r="T19" s="632"/>
      <c r="U19" s="632"/>
      <c r="V19" s="632"/>
      <c r="W19" s="633"/>
      <c r="X19" s="324"/>
    </row>
    <row r="20" spans="1:24" ht="24" customHeight="1">
      <c r="A20" s="229"/>
      <c r="C20" s="101"/>
      <c r="D20" s="101"/>
      <c r="E20" s="101"/>
      <c r="F20" s="101"/>
      <c r="I20" s="229"/>
      <c r="M20" s="29" t="s">
        <v>340</v>
      </c>
      <c r="N20" s="28"/>
      <c r="O20" s="29"/>
      <c r="P20" s="29"/>
      <c r="Q20" s="29"/>
      <c r="R20" s="29"/>
      <c r="S20" s="28"/>
      <c r="T20" s="28"/>
      <c r="U20" s="28"/>
      <c r="V20" s="28"/>
      <c r="W20" s="28"/>
      <c r="X20" s="684" t="s">
        <v>49</v>
      </c>
    </row>
    <row r="21" spans="1:24">
      <c r="A21" s="395" t="s">
        <v>86</v>
      </c>
      <c r="B21" s="444" t="s">
        <v>144</v>
      </c>
      <c r="C21" s="445" t="s">
        <v>323</v>
      </c>
      <c r="D21" s="103"/>
      <c r="E21" s="103"/>
      <c r="F21" s="103"/>
      <c r="I21" s="229"/>
      <c r="J21" s="373" t="s">
        <v>100</v>
      </c>
      <c r="K21" s="374"/>
      <c r="M21" s="66">
        <v>1</v>
      </c>
      <c r="N21" s="66">
        <v>2</v>
      </c>
      <c r="O21" s="66">
        <v>3</v>
      </c>
      <c r="P21" s="66">
        <v>4</v>
      </c>
      <c r="Q21" s="66">
        <v>5</v>
      </c>
      <c r="R21" s="66">
        <v>6</v>
      </c>
      <c r="S21" s="66">
        <v>7</v>
      </c>
      <c r="T21" s="66">
        <v>8</v>
      </c>
      <c r="U21" s="66">
        <v>9</v>
      </c>
      <c r="V21" s="66">
        <v>10</v>
      </c>
      <c r="W21" s="66">
        <v>11</v>
      </c>
      <c r="X21" s="685"/>
    </row>
    <row r="22" spans="1:24">
      <c r="A22" s="226" t="s">
        <v>88</v>
      </c>
      <c r="B22" s="413">
        <f>H6/G5</f>
        <v>0.19311996827114819</v>
      </c>
      <c r="C22" s="410">
        <f>1328.27/9034.93</f>
        <v>0.14701497410605283</v>
      </c>
      <c r="D22" s="103"/>
      <c r="E22" s="103"/>
      <c r="F22" s="103"/>
      <c r="I22" s="229"/>
      <c r="J22" s="367" t="s">
        <v>50</v>
      </c>
      <c r="K22" s="368">
        <f>X6/K6</f>
        <v>2.9076923076923076</v>
      </c>
      <c r="M22" s="69">
        <f>X22</f>
        <v>1310</v>
      </c>
      <c r="N22" s="69">
        <f>M22</f>
        <v>1310</v>
      </c>
      <c r="O22" s="69">
        <f>N22</f>
        <v>1310</v>
      </c>
      <c r="P22" s="69"/>
      <c r="Q22" s="69"/>
      <c r="R22" s="69"/>
      <c r="S22" s="69"/>
      <c r="T22" s="69"/>
      <c r="U22" s="69"/>
      <c r="V22" s="69"/>
      <c r="W22" s="69"/>
      <c r="X22" s="326">
        <f>K27</f>
        <v>1310</v>
      </c>
    </row>
    <row r="23" spans="1:24">
      <c r="A23" s="227" t="s">
        <v>89</v>
      </c>
      <c r="B23" s="413">
        <f>H9/G5</f>
        <v>0.66719532954993044</v>
      </c>
      <c r="C23" s="410">
        <f>3294.95/9034.93</f>
        <v>0.36469015255237169</v>
      </c>
      <c r="D23" s="103"/>
      <c r="E23" s="103"/>
      <c r="F23" s="103"/>
      <c r="I23" s="229"/>
      <c r="J23" s="369" t="s">
        <v>53</v>
      </c>
      <c r="K23" s="370">
        <f>X7/K6</f>
        <v>2.7492976588628761</v>
      </c>
      <c r="M23" s="71">
        <f>327+234.86+108.8+40</f>
        <v>710.66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454">
        <f t="shared" ref="X23" si="2">M23+N23+O23+P23+Q23+R23+W23+S23+T23+U23+V23</f>
        <v>710.66</v>
      </c>
    </row>
    <row r="24" spans="1:24">
      <c r="A24" s="228" t="s">
        <v>91</v>
      </c>
      <c r="B24" s="414">
        <f>H14/G5</f>
        <v>0.13968470217892129</v>
      </c>
      <c r="C24" s="381">
        <f>4411.71/9034.93</f>
        <v>0.4882948733415754</v>
      </c>
      <c r="I24" s="229"/>
      <c r="J24" s="365" t="s">
        <v>146</v>
      </c>
      <c r="K24" s="366">
        <f>K23*K19</f>
        <v>70.608451539210691</v>
      </c>
      <c r="X24" s="221"/>
    </row>
    <row r="25" spans="1:24">
      <c r="A25" s="229"/>
      <c r="I25" s="229"/>
      <c r="X25" s="221"/>
    </row>
    <row r="26" spans="1:24" ht="24.75" customHeight="1">
      <c r="A26" s="229"/>
      <c r="I26" s="229"/>
      <c r="J26" s="371" t="s">
        <v>90</v>
      </c>
      <c r="K26" s="372"/>
      <c r="X26" s="221"/>
    </row>
    <row r="27" spans="1:24" ht="27.75" customHeight="1">
      <c r="A27" s="229"/>
      <c r="I27" s="229"/>
      <c r="J27" s="359" t="s">
        <v>50</v>
      </c>
      <c r="K27" s="360">
        <f>810+500</f>
        <v>1310</v>
      </c>
      <c r="X27" s="221"/>
    </row>
    <row r="28" spans="1:24">
      <c r="A28" s="229"/>
      <c r="I28" s="229"/>
      <c r="J28" s="363" t="s">
        <v>53</v>
      </c>
      <c r="K28" s="364">
        <f>G14+G15</f>
        <v>710.8599999999999</v>
      </c>
      <c r="X28" s="221"/>
    </row>
    <row r="29" spans="1:24">
      <c r="A29" s="229"/>
      <c r="I29" s="229"/>
      <c r="J29" s="365" t="s">
        <v>147</v>
      </c>
      <c r="K29" s="366">
        <f>K28/X7</f>
        <v>3.4590044280083689</v>
      </c>
      <c r="X29" s="221"/>
    </row>
    <row r="30" spans="1:24">
      <c r="A30" s="229"/>
      <c r="I30" s="229"/>
      <c r="X30" s="221"/>
    </row>
    <row r="31" spans="1:24">
      <c r="A31" s="229"/>
      <c r="I31" s="229"/>
      <c r="J31" s="189" t="s">
        <v>92</v>
      </c>
      <c r="K31" s="136"/>
      <c r="X31" s="221"/>
    </row>
    <row r="32" spans="1:24" ht="27.75">
      <c r="A32" s="229"/>
      <c r="I32" s="229"/>
      <c r="J32" s="10" t="s">
        <v>93</v>
      </c>
      <c r="K32" s="136"/>
      <c r="X32" s="221"/>
    </row>
    <row r="33" spans="1:24">
      <c r="A33" s="229"/>
      <c r="I33" s="229"/>
      <c r="X33" s="221"/>
    </row>
    <row r="34" spans="1:24">
      <c r="A34" s="229"/>
      <c r="I34" s="229"/>
      <c r="J34" s="673" t="s">
        <v>94</v>
      </c>
      <c r="K34" s="673"/>
      <c r="X34" s="221"/>
    </row>
    <row r="35" spans="1:24">
      <c r="A35" s="230"/>
      <c r="B35" s="231"/>
      <c r="C35" s="231"/>
      <c r="D35" s="231"/>
      <c r="E35" s="231"/>
      <c r="F35" s="231"/>
      <c r="G35" s="231"/>
      <c r="H35" s="231"/>
      <c r="I35" s="230"/>
      <c r="J35" s="672">
        <v>45379</v>
      </c>
      <c r="K35" s="672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2"/>
    </row>
    <row r="38" spans="1:24">
      <c r="I38" s="1"/>
    </row>
  </sheetData>
  <mergeCells count="15">
    <mergeCell ref="B1:X1"/>
    <mergeCell ref="A2:H2"/>
    <mergeCell ref="J2:X2"/>
    <mergeCell ref="C3:D3"/>
    <mergeCell ref="E3:F3"/>
    <mergeCell ref="G3:H3"/>
    <mergeCell ref="J3:K3"/>
    <mergeCell ref="M3:W3"/>
    <mergeCell ref="J35:K35"/>
    <mergeCell ref="J34:K34"/>
    <mergeCell ref="X20:X21"/>
    <mergeCell ref="X4:X5"/>
    <mergeCell ref="M19:W19"/>
    <mergeCell ref="J11:K11"/>
    <mergeCell ref="J15:K15"/>
  </mergeCells>
  <conditionalFormatting sqref="K8">
    <cfRule type="cellIs" dxfId="31" priority="6" operator="greaterThan">
      <formula>$K$7</formula>
    </cfRule>
  </conditionalFormatting>
  <conditionalFormatting sqref="K13">
    <cfRule type="cellIs" dxfId="30" priority="3" operator="greaterThan">
      <formula>$K$12</formula>
    </cfRule>
  </conditionalFormatting>
  <conditionalFormatting sqref="K17">
    <cfRule type="cellIs" dxfId="29" priority="5" operator="greaterThan">
      <formula>$K$16</formula>
    </cfRule>
  </conditionalFormatting>
  <conditionalFormatting sqref="K19">
    <cfRule type="cellIs" dxfId="28" priority="4" operator="greaterThan">
      <formula>$K$18</formula>
    </cfRule>
  </conditionalFormatting>
  <conditionalFormatting sqref="K20">
    <cfRule type="cellIs" dxfId="27" priority="9" operator="greaterThan">
      <formula>$K$19</formula>
    </cfRule>
  </conditionalFormatting>
  <conditionalFormatting sqref="K23">
    <cfRule type="cellIs" dxfId="26" priority="8" operator="greaterThan">
      <formula>$K$22</formula>
    </cfRule>
  </conditionalFormatting>
  <conditionalFormatting sqref="K28">
    <cfRule type="cellIs" dxfId="25" priority="2" operator="greaterThan">
      <formula>$K$27</formula>
    </cfRule>
  </conditionalFormatting>
  <conditionalFormatting sqref="X7">
    <cfRule type="cellIs" dxfId="24" priority="1" operator="greaterThan">
      <formula>$X$6</formula>
    </cfRule>
  </conditionalFormatting>
  <pageMargins left="0.7" right="0.7" top="0.75" bottom="0.75" header="0.3" footer="0.3"/>
  <pageSetup paperSize="9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1B16-E55D-499F-A48B-30F1E15953DC}">
  <sheetPr>
    <pageSetUpPr fitToPage="1"/>
  </sheetPr>
  <dimension ref="A1:AC43"/>
  <sheetViews>
    <sheetView workbookViewId="0">
      <selection activeCell="E9" sqref="E9"/>
    </sheetView>
  </sheetViews>
  <sheetFormatPr defaultRowHeight="15" outlineLevelCol="1"/>
  <cols>
    <col min="1" max="1" width="22.28515625" customWidth="1"/>
    <col min="2" max="2" width="29.42578125" customWidth="1"/>
    <col min="3" max="5" width="10.7109375" customWidth="1"/>
    <col min="6" max="6" width="10.140625" customWidth="1"/>
    <col min="7" max="7" width="10.7109375" hidden="1" customWidth="1" outlineLevel="1"/>
    <col min="8" max="8" width="10.140625" hidden="1" customWidth="1" outlineLevel="1"/>
    <col min="9" max="9" width="10.7109375" hidden="1" customWidth="1" outlineLevel="1"/>
    <col min="10" max="10" width="10.140625" hidden="1" customWidth="1" outlineLevel="1"/>
    <col min="11" max="11" width="10.7109375" customWidth="1" collapsed="1"/>
    <col min="12" max="12" width="10.7109375" customWidth="1"/>
    <col min="13" max="13" width="3.28515625" customWidth="1"/>
    <col min="14" max="14" width="26.28515625" customWidth="1"/>
    <col min="15" max="15" width="15.85546875" customWidth="1"/>
    <col min="16" max="16" width="2.85546875" customWidth="1"/>
    <col min="17" max="19" width="8.7109375" customWidth="1"/>
    <col min="20" max="27" width="8.7109375" hidden="1" customWidth="1" outlineLevel="1"/>
    <col min="28" max="28" width="8.7109375" customWidth="1" collapsed="1"/>
    <col min="29" max="29" width="12.7109375" customWidth="1"/>
  </cols>
  <sheetData>
    <row r="1" spans="1:29" ht="25.5">
      <c r="A1" s="187" t="s">
        <v>341</v>
      </c>
      <c r="B1" s="729" t="s">
        <v>342</v>
      </c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</row>
    <row r="2" spans="1:29" ht="18.75">
      <c r="A2" s="681" t="s">
        <v>30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453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639"/>
      <c r="AA2" s="639"/>
      <c r="AB2" s="707"/>
    </row>
    <row r="3" spans="1:29" ht="25.5" customHeight="1">
      <c r="A3" s="229"/>
      <c r="C3" s="640" t="s">
        <v>339</v>
      </c>
      <c r="D3" s="641"/>
      <c r="E3" s="640" t="s">
        <v>328</v>
      </c>
      <c r="F3" s="641"/>
      <c r="G3" s="640"/>
      <c r="H3" s="641"/>
      <c r="I3" s="640"/>
      <c r="J3" s="641"/>
      <c r="K3" s="642" t="s">
        <v>36</v>
      </c>
      <c r="L3" s="724"/>
      <c r="M3" s="229"/>
      <c r="N3" s="670" t="s">
        <v>138</v>
      </c>
      <c r="O3" s="671"/>
      <c r="P3" s="110"/>
      <c r="Q3" s="631" t="s">
        <v>13</v>
      </c>
      <c r="R3" s="645"/>
      <c r="S3" s="645"/>
      <c r="T3" s="645"/>
      <c r="U3" s="645"/>
      <c r="V3" s="645"/>
      <c r="W3" s="645"/>
      <c r="X3" s="645"/>
      <c r="Y3" s="645"/>
      <c r="Z3" s="645"/>
      <c r="AA3" s="646"/>
      <c r="AB3" s="457"/>
    </row>
    <row r="4" spans="1:29" ht="16.5" customHeight="1">
      <c r="A4" s="216" t="s">
        <v>40</v>
      </c>
      <c r="B4" s="5" t="s">
        <v>41</v>
      </c>
      <c r="C4" s="77">
        <f>(O4+O5)/3*2</f>
        <v>31143.833333333332</v>
      </c>
      <c r="E4" s="77">
        <f>(O4+O5)/3</f>
        <v>15571.916666666666</v>
      </c>
      <c r="F4" s="149"/>
      <c r="G4" s="77">
        <f>O11</f>
        <v>0</v>
      </c>
      <c r="H4" s="149"/>
      <c r="I4" s="77" t="e">
        <f>#REF!</f>
        <v>#REF!</v>
      </c>
      <c r="J4" s="149"/>
      <c r="K4" s="135">
        <f>E4+C4</f>
        <v>46715.75</v>
      </c>
      <c r="L4" s="451"/>
      <c r="M4" s="229"/>
      <c r="N4" s="349" t="s">
        <v>64</v>
      </c>
      <c r="O4" s="350">
        <v>41000</v>
      </c>
      <c r="P4" s="110"/>
      <c r="Q4" s="188" t="s">
        <v>343</v>
      </c>
      <c r="R4" s="160" t="s">
        <v>344</v>
      </c>
      <c r="S4" s="188"/>
      <c r="T4" s="160"/>
      <c r="U4" s="160"/>
      <c r="V4" s="160"/>
      <c r="W4" s="160"/>
      <c r="X4" s="188"/>
      <c r="Y4" s="188"/>
      <c r="Z4" s="160"/>
      <c r="AA4" s="29"/>
      <c r="AB4" s="730" t="s">
        <v>49</v>
      </c>
    </row>
    <row r="5" spans="1:29">
      <c r="A5" s="216" t="s">
        <v>51</v>
      </c>
      <c r="B5" s="5" t="s">
        <v>52</v>
      </c>
      <c r="C5" s="161">
        <f>C6+C7+C8+C9+C10+C11+C14+C15+C18+C16+C12</f>
        <v>23828.633233742934</v>
      </c>
      <c r="D5" s="5"/>
      <c r="E5" s="161">
        <f>E6+E7+E8+E9+E10+E11+E14+E15+E18+E16+E12</f>
        <v>12804.055311214664</v>
      </c>
      <c r="F5" s="12"/>
      <c r="G5" s="161">
        <f>G6+G7+G8+G9+G10+G11+G14+G15+G18+G16+G12</f>
        <v>0</v>
      </c>
      <c r="H5" s="12"/>
      <c r="I5" s="161">
        <f>I6+I7+I8+I9+I10+I11+I14+I15+I18+I16+I12</f>
        <v>0</v>
      </c>
      <c r="J5" s="12"/>
      <c r="K5" s="8">
        <f>K6+K7+K8+K9+K10+K11+K14+K15+K18+K16+K12+K13</f>
        <v>38014.068544957598</v>
      </c>
      <c r="L5" s="425"/>
      <c r="M5" s="229"/>
      <c r="N5" s="399" t="s">
        <v>67</v>
      </c>
      <c r="O5" s="400">
        <f>3338.75+2377</f>
        <v>5715.75</v>
      </c>
      <c r="Q5" s="74">
        <v>1</v>
      </c>
      <c r="R5" s="74">
        <v>2</v>
      </c>
      <c r="S5" s="74">
        <v>3</v>
      </c>
      <c r="T5" s="74">
        <v>4</v>
      </c>
      <c r="U5" s="74">
        <v>5</v>
      </c>
      <c r="V5" s="74">
        <v>6</v>
      </c>
      <c r="W5" s="33">
        <v>7</v>
      </c>
      <c r="X5" s="33">
        <v>8</v>
      </c>
      <c r="Y5" s="33">
        <v>9</v>
      </c>
      <c r="Z5" s="33">
        <v>10</v>
      </c>
      <c r="AA5" s="33">
        <v>11</v>
      </c>
      <c r="AB5" s="731"/>
    </row>
    <row r="6" spans="1:29">
      <c r="A6" s="217" t="s">
        <v>345</v>
      </c>
      <c r="B6" s="75" t="s">
        <v>55</v>
      </c>
      <c r="C6" s="17">
        <f>111+1623.77+1155.12+28.9+59.35+67.73+474.4+65.22+42.9+404.85+82.35+65.9+5.09+2600+500+431.6+79.8+445.4+9.36+7.48+157.11+62.52+162.82</f>
        <v>8642.6700000000019</v>
      </c>
      <c r="D6" s="13">
        <f>C6+C7+C8</f>
        <v>9723.2900000000027</v>
      </c>
      <c r="E6" s="13">
        <f>66.99+210.25+171.85+81.6+13+23.9</f>
        <v>567.59</v>
      </c>
      <c r="F6" s="13">
        <f>E6+E7+E8</f>
        <v>8475.64</v>
      </c>
      <c r="G6" s="244"/>
      <c r="H6" s="239">
        <f>G6+G7+G8</f>
        <v>0</v>
      </c>
      <c r="I6" s="244"/>
      <c r="J6" s="239">
        <f>I6+I7+I8</f>
        <v>0</v>
      </c>
      <c r="K6" s="9">
        <f>C6+E6+G6+I6</f>
        <v>9210.260000000002</v>
      </c>
      <c r="L6" s="426">
        <f>K6+K7+K8</f>
        <v>18198.93</v>
      </c>
      <c r="M6" s="229"/>
      <c r="N6" s="351" t="s">
        <v>71</v>
      </c>
      <c r="O6" s="352">
        <v>89.36</v>
      </c>
      <c r="Q6" s="238">
        <v>252</v>
      </c>
      <c r="R6" s="238">
        <f>Q6</f>
        <v>252</v>
      </c>
      <c r="S6" s="236">
        <v>-14.74</v>
      </c>
      <c r="T6" s="236"/>
      <c r="U6" s="236"/>
      <c r="V6" s="236"/>
      <c r="W6" s="236"/>
      <c r="X6" s="236"/>
      <c r="Y6" s="236"/>
      <c r="Z6" s="236"/>
      <c r="AA6" s="236"/>
      <c r="AB6" s="458">
        <f>503.79+S6</f>
        <v>489.05</v>
      </c>
    </row>
    <row r="7" spans="1:29">
      <c r="A7" s="219" t="s">
        <v>346</v>
      </c>
      <c r="B7" s="86" t="s">
        <v>57</v>
      </c>
      <c r="C7" s="126">
        <v>57.62</v>
      </c>
      <c r="D7" s="13"/>
      <c r="E7" s="145">
        <f>290+800</f>
        <v>1090</v>
      </c>
      <c r="F7" s="13"/>
      <c r="G7" s="239"/>
      <c r="H7" s="239"/>
      <c r="I7" s="239"/>
      <c r="J7" s="239"/>
      <c r="K7" s="9">
        <f t="shared" ref="K7:K18" si="0">C7+E7+G7+I7</f>
        <v>1147.6199999999999</v>
      </c>
      <c r="L7" s="426"/>
      <c r="M7" s="229"/>
      <c r="N7" s="353" t="s">
        <v>74</v>
      </c>
      <c r="O7" s="354" t="s">
        <v>75</v>
      </c>
      <c r="Q7" s="235">
        <v>140</v>
      </c>
      <c r="R7" s="234">
        <v>164.6</v>
      </c>
      <c r="S7" s="234">
        <f>34.78+35.07+26.98+26.87</f>
        <v>123.7</v>
      </c>
      <c r="T7" s="234"/>
      <c r="U7" s="234"/>
      <c r="V7" s="234"/>
      <c r="W7" s="234"/>
      <c r="X7" s="234"/>
      <c r="Y7" s="234"/>
      <c r="Z7" s="234"/>
      <c r="AA7" s="234"/>
      <c r="AB7" s="459">
        <f>Q7+R7+S7+T7+U7+V7+AA7+W7+X7+Y7+Z7</f>
        <v>428.3</v>
      </c>
      <c r="AC7" s="120">
        <f>AB6-AB7</f>
        <v>60.75</v>
      </c>
    </row>
    <row r="8" spans="1:29">
      <c r="A8" s="220" t="s">
        <v>58</v>
      </c>
      <c r="B8" s="76" t="s">
        <v>59</v>
      </c>
      <c r="C8" s="144">
        <f>577.5+280.5+165</f>
        <v>1023</v>
      </c>
      <c r="D8" s="14"/>
      <c r="E8" s="532">
        <f>46.2+74.1+13.2+3662.36+1834.19+791+397</f>
        <v>6818.05</v>
      </c>
      <c r="F8" s="14"/>
      <c r="G8" s="146"/>
      <c r="H8" s="14"/>
      <c r="I8" s="146"/>
      <c r="J8" s="14"/>
      <c r="K8" s="174">
        <f t="shared" si="0"/>
        <v>7841.05</v>
      </c>
      <c r="L8" s="1"/>
      <c r="M8" s="229"/>
      <c r="N8" s="355" t="s">
        <v>78</v>
      </c>
      <c r="O8" s="455">
        <v>13</v>
      </c>
      <c r="AB8" s="221"/>
    </row>
    <row r="9" spans="1:29">
      <c r="A9" s="217" t="s">
        <v>60</v>
      </c>
      <c r="B9" s="75" t="s">
        <v>61</v>
      </c>
      <c r="C9" s="129">
        <f>2589.04*1.42</f>
        <v>3676.4367999999999</v>
      </c>
      <c r="D9" s="141">
        <f>C9+C10+C11+C14+C12</f>
        <v>9837.2732337429334</v>
      </c>
      <c r="E9" s="249">
        <f>((15*(37.78+35.07)+12*(26.98+26.87)+3000/20*1)-E14)*1.42</f>
        <v>1475.309</v>
      </c>
      <c r="F9" s="141">
        <f>E9+E10+E11+E14+E12</f>
        <v>3909.235311214667</v>
      </c>
      <c r="G9" s="247"/>
      <c r="H9" s="243">
        <f>G9+G10+G11+G14+G12</f>
        <v>0</v>
      </c>
      <c r="I9" s="247"/>
      <c r="J9" s="243">
        <f>I9+I10+I11+I14+I12</f>
        <v>0</v>
      </c>
      <c r="K9" s="9">
        <f t="shared" si="0"/>
        <v>5151.7457999999997</v>
      </c>
      <c r="L9" s="427">
        <f>K9+K10+K11+K14+K12+K13</f>
        <v>15127.888544957601</v>
      </c>
      <c r="M9" s="229"/>
      <c r="N9" s="357" t="s">
        <v>81</v>
      </c>
      <c r="O9" s="358">
        <v>12</v>
      </c>
      <c r="AB9" s="221"/>
    </row>
    <row r="10" spans="1:29">
      <c r="A10" s="219" t="s">
        <v>62</v>
      </c>
      <c r="B10" s="86" t="s">
        <v>63</v>
      </c>
      <c r="C10" s="126">
        <f>C9*0.2359</f>
        <v>867.27144111999996</v>
      </c>
      <c r="D10" s="13"/>
      <c r="E10" s="145">
        <f>E9*0.2359</f>
        <v>348.02539309999997</v>
      </c>
      <c r="F10" s="13"/>
      <c r="G10" s="240">
        <f>G9*0.2359</f>
        <v>0</v>
      </c>
      <c r="H10" s="239"/>
      <c r="I10" s="240">
        <f>I9*0.2359</f>
        <v>0</v>
      </c>
      <c r="J10" s="239"/>
      <c r="K10" s="9">
        <f t="shared" si="0"/>
        <v>1215.2968342199999</v>
      </c>
      <c r="L10" s="1"/>
      <c r="M10" s="229"/>
      <c r="AB10" s="221"/>
    </row>
    <row r="11" spans="1:29">
      <c r="A11" s="219" t="s">
        <v>65</v>
      </c>
      <c r="B11" s="86" t="s">
        <v>66</v>
      </c>
      <c r="C11" s="126">
        <f>(C9+C10)*0.08</f>
        <v>363.49665928960002</v>
      </c>
      <c r="D11" s="13"/>
      <c r="E11" s="145">
        <f>(E9+E10)*0.08</f>
        <v>145.866751448</v>
      </c>
      <c r="F11" s="13"/>
      <c r="G11" s="240">
        <f>(G9+G10)*0.08</f>
        <v>0</v>
      </c>
      <c r="H11" s="239"/>
      <c r="I11" s="240">
        <f>(I9+I10)*0.08</f>
        <v>0</v>
      </c>
      <c r="J11" s="239"/>
      <c r="K11" s="9">
        <f t="shared" si="0"/>
        <v>509.36341073760002</v>
      </c>
      <c r="L11" s="1"/>
      <c r="M11" s="229"/>
      <c r="N11" s="674" t="s">
        <v>85</v>
      </c>
      <c r="O11" s="675"/>
      <c r="AB11" s="221"/>
    </row>
    <row r="12" spans="1:29">
      <c r="A12" s="222" t="s">
        <v>68</v>
      </c>
      <c r="B12" s="92" t="s">
        <v>21</v>
      </c>
      <c r="C12" s="127">
        <f>(C4)*0.07</f>
        <v>2180.0683333333336</v>
      </c>
      <c r="D12" s="133"/>
      <c r="E12" s="147">
        <f>(E4)*0.07</f>
        <v>1090.0341666666668</v>
      </c>
      <c r="F12" s="133"/>
      <c r="G12" s="241">
        <f>(G14+G11+G10+G9)*0.07</f>
        <v>0</v>
      </c>
      <c r="H12" s="244"/>
      <c r="I12" s="241">
        <f>(I14+I11+I10+I9)*0.07</f>
        <v>0</v>
      </c>
      <c r="J12" s="244"/>
      <c r="K12" s="9">
        <f t="shared" si="0"/>
        <v>3270.1025000000004</v>
      </c>
      <c r="L12" s="1"/>
      <c r="M12" s="229"/>
      <c r="N12" s="359" t="s">
        <v>50</v>
      </c>
      <c r="O12" s="360">
        <f>4067.21+439.97</f>
        <v>4507.18</v>
      </c>
      <c r="AB12" s="221"/>
    </row>
    <row r="13" spans="1:29">
      <c r="A13" s="222"/>
      <c r="B13" s="523" t="s">
        <v>347</v>
      </c>
      <c r="C13" s="259"/>
      <c r="D13" s="252"/>
      <c r="E13" s="250"/>
      <c r="F13" s="252"/>
      <c r="G13" s="533"/>
      <c r="H13" s="534"/>
      <c r="I13" s="533"/>
      <c r="J13" s="534"/>
      <c r="K13" s="535">
        <v>1381.38</v>
      </c>
      <c r="L13" s="1"/>
      <c r="M13" s="229"/>
      <c r="N13" s="495"/>
      <c r="O13" s="496"/>
      <c r="AB13" s="221"/>
    </row>
    <row r="14" spans="1:29">
      <c r="A14" s="219" t="s">
        <v>348</v>
      </c>
      <c r="B14" s="86" t="s">
        <v>70</v>
      </c>
      <c r="C14" s="130">
        <v>2750</v>
      </c>
      <c r="D14" s="134"/>
      <c r="E14" s="150">
        <f>3*50*3+4*50*2</f>
        <v>850</v>
      </c>
      <c r="F14" s="134"/>
      <c r="G14" s="245"/>
      <c r="H14" s="242"/>
      <c r="I14" s="245"/>
      <c r="J14" s="242"/>
      <c r="K14" s="174">
        <f t="shared" si="0"/>
        <v>3600</v>
      </c>
      <c r="L14" s="428"/>
      <c r="M14" s="229"/>
      <c r="N14" s="361" t="s">
        <v>53</v>
      </c>
      <c r="O14" s="362">
        <f>K6+K7</f>
        <v>10357.880000000001</v>
      </c>
      <c r="AB14" s="221"/>
    </row>
    <row r="15" spans="1:29" ht="30.75" customHeight="1">
      <c r="A15" s="223" t="s">
        <v>349</v>
      </c>
      <c r="B15" s="75" t="s">
        <v>73</v>
      </c>
      <c r="C15" s="17">
        <f>1759.94+124</f>
        <v>1883.94</v>
      </c>
      <c r="D15" s="13">
        <f>C15+C18+C16</f>
        <v>4268.07</v>
      </c>
      <c r="E15" s="13">
        <v>124.21</v>
      </c>
      <c r="F15" s="145">
        <f>E15+E18+E16</f>
        <v>419.17999999999995</v>
      </c>
      <c r="G15" s="241"/>
      <c r="H15" s="239">
        <f>G15+G18+G16</f>
        <v>0</v>
      </c>
      <c r="I15" s="241"/>
      <c r="J15" s="239">
        <f>I15+I18+I16</f>
        <v>0</v>
      </c>
      <c r="K15" s="9">
        <f t="shared" si="0"/>
        <v>2008.15</v>
      </c>
      <c r="L15" s="1">
        <f>K15+K18+K16</f>
        <v>4687.25</v>
      </c>
      <c r="M15" s="229"/>
      <c r="AB15" s="221"/>
    </row>
    <row r="16" spans="1:29">
      <c r="A16" s="224" t="s">
        <v>350</v>
      </c>
      <c r="B16" s="86" t="s">
        <v>77</v>
      </c>
      <c r="C16" s="126">
        <v>596.04</v>
      </c>
      <c r="D16" s="13"/>
      <c r="E16" s="13"/>
      <c r="F16" s="13"/>
      <c r="G16" s="239"/>
      <c r="H16" s="239"/>
      <c r="I16" s="239"/>
      <c r="J16" s="239"/>
      <c r="K16" s="9">
        <f t="shared" si="0"/>
        <v>596.04</v>
      </c>
      <c r="L16" s="1"/>
      <c r="M16" s="229"/>
      <c r="N16" s="651" t="s">
        <v>89</v>
      </c>
      <c r="O16" s="652"/>
      <c r="AB16" s="221"/>
    </row>
    <row r="17" spans="1:28" ht="25.5">
      <c r="A17" s="224" t="s">
        <v>139</v>
      </c>
      <c r="B17" s="86" t="s">
        <v>140</v>
      </c>
      <c r="C17" s="126"/>
      <c r="D17" s="13"/>
      <c r="E17" s="13"/>
      <c r="F17" s="13"/>
      <c r="G17" s="239"/>
      <c r="H17" s="239"/>
      <c r="I17" s="239"/>
      <c r="J17" s="239"/>
      <c r="K17" s="9"/>
      <c r="L17" s="1"/>
      <c r="M17" s="229"/>
      <c r="N17" s="359" t="s">
        <v>50</v>
      </c>
      <c r="O17" s="360">
        <f>11702.19-334.2</f>
        <v>11367.99</v>
      </c>
      <c r="AB17" s="221"/>
    </row>
    <row r="18" spans="1:28">
      <c r="A18" s="219" t="s">
        <v>79</v>
      </c>
      <c r="B18" s="86" t="s">
        <v>80</v>
      </c>
      <c r="C18" s="17">
        <f>125+134.41+736.17+45+475+7.8+6+7.2+7.8+4.6+3.3+235.81</f>
        <v>1788.0899999999997</v>
      </c>
      <c r="D18" s="13"/>
      <c r="E18" s="13">
        <f>107.3+159.17+28.5</f>
        <v>294.96999999999997</v>
      </c>
      <c r="F18" s="13"/>
      <c r="G18" s="239"/>
      <c r="H18" s="239"/>
      <c r="I18" s="239"/>
      <c r="J18" s="239"/>
      <c r="K18" s="9">
        <f t="shared" si="0"/>
        <v>2083.0599999999995</v>
      </c>
      <c r="L18" s="1"/>
      <c r="M18" s="229"/>
      <c r="N18" s="363" t="s">
        <v>53</v>
      </c>
      <c r="O18" s="364">
        <f>L9-K12</f>
        <v>11857.7860449576</v>
      </c>
      <c r="AB18" s="221"/>
    </row>
    <row r="19" spans="1:28">
      <c r="A19" s="391" t="s">
        <v>82</v>
      </c>
      <c r="B19" s="344" t="s">
        <v>83</v>
      </c>
      <c r="C19" s="345">
        <f>C4-C5</f>
        <v>7315.2000995903982</v>
      </c>
      <c r="D19" s="405">
        <f>C19/C4</f>
        <v>0.23488438373322912</v>
      </c>
      <c r="E19" s="460">
        <f>E4-E5</f>
        <v>2767.8613554520016</v>
      </c>
      <c r="F19" s="346">
        <f>E19/E4</f>
        <v>0.17774699253155532</v>
      </c>
      <c r="G19" s="460">
        <f>G4-G5</f>
        <v>0</v>
      </c>
      <c r="H19" s="346" t="e">
        <f>G19/G4</f>
        <v>#DIV/0!</v>
      </c>
      <c r="I19" s="460" t="e">
        <f>I4-I5</f>
        <v>#REF!</v>
      </c>
      <c r="J19" s="346" t="e">
        <f>I19/I4</f>
        <v>#REF!</v>
      </c>
      <c r="K19" s="348">
        <f>K4-K5</f>
        <v>8701.6814550424024</v>
      </c>
      <c r="L19" s="405">
        <f>K19/K4</f>
        <v>0.1862686878631383</v>
      </c>
      <c r="M19" s="229"/>
      <c r="N19" s="375" t="s">
        <v>322</v>
      </c>
      <c r="O19" s="440">
        <f>O17/AB6</f>
        <v>23.245046518760862</v>
      </c>
      <c r="AB19" s="221"/>
    </row>
    <row r="20" spans="1:28">
      <c r="A20" s="339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339"/>
      <c r="J20" s="339"/>
      <c r="K20" s="433">
        <f>O4+O5-33902.99</f>
        <v>12812.760000000002</v>
      </c>
      <c r="L20" s="184">
        <f>K20/O4</f>
        <v>0.31250634146341466</v>
      </c>
      <c r="N20" s="377" t="s">
        <v>141</v>
      </c>
      <c r="O20" s="409">
        <f>O18/AB7</f>
        <v>27.685701715987857</v>
      </c>
      <c r="Q20" s="631" t="s">
        <v>90</v>
      </c>
      <c r="R20" s="645"/>
      <c r="S20" s="645"/>
      <c r="T20" s="645"/>
      <c r="U20" s="645"/>
      <c r="V20" s="645"/>
      <c r="W20" s="645"/>
      <c r="X20" s="645"/>
      <c r="Y20" s="645"/>
      <c r="Z20" s="645"/>
      <c r="AA20" s="646"/>
      <c r="AB20" s="324"/>
    </row>
    <row r="21" spans="1:28">
      <c r="A21" s="229"/>
      <c r="D21" s="101"/>
      <c r="E21" s="101"/>
      <c r="F21" s="101"/>
      <c r="G21" s="101"/>
      <c r="H21" s="101"/>
      <c r="I21" s="101"/>
      <c r="J21" s="101"/>
      <c r="M21" s="229"/>
      <c r="Q21" s="188" t="s">
        <v>343</v>
      </c>
      <c r="R21" s="160" t="s">
        <v>344</v>
      </c>
      <c r="S21" s="188" t="s">
        <v>351</v>
      </c>
      <c r="T21" s="160" t="s">
        <v>352</v>
      </c>
      <c r="U21" s="160" t="s">
        <v>353</v>
      </c>
      <c r="V21" s="160" t="s">
        <v>354</v>
      </c>
      <c r="W21" s="160" t="s">
        <v>355</v>
      </c>
      <c r="X21" s="188" t="s">
        <v>356</v>
      </c>
      <c r="Y21" s="188" t="s">
        <v>357</v>
      </c>
      <c r="Z21" s="188">
        <f>Z4</f>
        <v>0</v>
      </c>
      <c r="AA21" s="28">
        <f>AA4</f>
        <v>0</v>
      </c>
      <c r="AB21" s="684" t="s">
        <v>49</v>
      </c>
    </row>
    <row r="22" spans="1:28" ht="27.75">
      <c r="A22" s="395" t="s">
        <v>86</v>
      </c>
      <c r="B22" s="444" t="s">
        <v>144</v>
      </c>
      <c r="C22" s="445" t="s">
        <v>323</v>
      </c>
      <c r="D22" s="103"/>
      <c r="E22" s="103"/>
      <c r="F22" s="103"/>
      <c r="G22" s="456"/>
      <c r="H22" s="456"/>
      <c r="I22" s="456"/>
      <c r="J22" s="456"/>
      <c r="M22" s="229"/>
      <c r="N22" s="373" t="s">
        <v>100</v>
      </c>
      <c r="O22" s="374"/>
      <c r="Q22" s="66">
        <v>1</v>
      </c>
      <c r="R22" s="66">
        <v>2</v>
      </c>
      <c r="S22" s="66">
        <v>3</v>
      </c>
      <c r="T22" s="66">
        <v>4</v>
      </c>
      <c r="U22" s="66">
        <v>5</v>
      </c>
      <c r="V22" s="66">
        <v>6</v>
      </c>
      <c r="W22" s="66">
        <v>7</v>
      </c>
      <c r="X22" s="66">
        <v>8</v>
      </c>
      <c r="Y22" s="66">
        <v>9</v>
      </c>
      <c r="Z22" s="66">
        <v>10</v>
      </c>
      <c r="AA22" s="66">
        <v>11</v>
      </c>
      <c r="AB22" s="685"/>
    </row>
    <row r="23" spans="1:28" ht="25.5">
      <c r="A23" s="226" t="s">
        <v>88</v>
      </c>
      <c r="B23" s="413">
        <f>L6/K5</f>
        <v>0.47874196834461197</v>
      </c>
      <c r="C23" s="410">
        <f>4506.97/33902.99</f>
        <v>0.13293724240841295</v>
      </c>
      <c r="D23" s="103"/>
      <c r="E23" s="103"/>
      <c r="F23" s="103"/>
      <c r="G23" s="456"/>
      <c r="H23" s="456"/>
      <c r="I23" s="456"/>
      <c r="J23" s="456"/>
      <c r="M23" s="229"/>
      <c r="N23" s="367" t="s">
        <v>50</v>
      </c>
      <c r="O23" s="368">
        <f>AB6/O6</f>
        <v>5.4728066248880936</v>
      </c>
      <c r="Q23" s="69">
        <f>AB23/2</f>
        <v>2150</v>
      </c>
      <c r="R23" s="69">
        <f>Q23</f>
        <v>2150</v>
      </c>
      <c r="S23" s="69">
        <f>Q23</f>
        <v>2150</v>
      </c>
      <c r="T23" s="69">
        <f>S23</f>
        <v>2150</v>
      </c>
      <c r="U23" s="69">
        <f>T23</f>
        <v>2150</v>
      </c>
      <c r="V23" s="69"/>
      <c r="W23" s="69"/>
      <c r="X23" s="69"/>
      <c r="Y23" s="69"/>
      <c r="Z23" s="69"/>
      <c r="AA23" s="69"/>
      <c r="AB23" s="326">
        <f>O28</f>
        <v>4300</v>
      </c>
    </row>
    <row r="24" spans="1:28">
      <c r="A24" s="227" t="s">
        <v>89</v>
      </c>
      <c r="B24" s="413">
        <f>L9/K5</f>
        <v>0.39795499729439643</v>
      </c>
      <c r="C24" s="410">
        <f>11367.99/33902.99</f>
        <v>0.33530936356940788</v>
      </c>
      <c r="D24" s="103"/>
      <c r="E24" s="103"/>
      <c r="F24" s="103"/>
      <c r="G24" s="456"/>
      <c r="H24" s="456"/>
      <c r="I24" s="456"/>
      <c r="J24" s="456"/>
      <c r="M24" s="229"/>
      <c r="N24" s="369" t="s">
        <v>53</v>
      </c>
      <c r="O24" s="370">
        <f>AB7/O6</f>
        <v>4.7929722470904208</v>
      </c>
      <c r="Q24" s="71">
        <f>596.04+1759.94+124</f>
        <v>2479.98</v>
      </c>
      <c r="R24" s="72">
        <v>124.21</v>
      </c>
      <c r="S24" s="72"/>
      <c r="T24" s="72"/>
      <c r="U24" s="72"/>
      <c r="V24" s="72"/>
      <c r="W24" s="72"/>
      <c r="X24" s="72"/>
      <c r="Y24" s="72"/>
      <c r="Z24" s="72"/>
      <c r="AA24" s="72"/>
      <c r="AB24" s="436">
        <f>Q24+R24+S24+T24+U24+V24+AA24+W24+X24+Y24+Z24</f>
        <v>2604.19</v>
      </c>
    </row>
    <row r="25" spans="1:28">
      <c r="A25" s="228" t="s">
        <v>91</v>
      </c>
      <c r="B25" s="414">
        <f>L15/K5</f>
        <v>0.12330303436099169</v>
      </c>
      <c r="C25" s="411">
        <f>18028/3/33902.99</f>
        <v>0.17725083638149122</v>
      </c>
      <c r="M25" s="229"/>
      <c r="N25" s="365" t="s">
        <v>146</v>
      </c>
      <c r="O25" s="366">
        <f>O24*O20</f>
        <v>132.69679996595343</v>
      </c>
      <c r="AB25" s="221"/>
    </row>
    <row r="26" spans="1:28">
      <c r="A26" s="229"/>
      <c r="M26" s="229"/>
      <c r="AB26" s="221"/>
    </row>
    <row r="27" spans="1:28" ht="26.25" customHeight="1">
      <c r="A27" s="229"/>
      <c r="M27" s="229"/>
      <c r="N27" s="371" t="s">
        <v>90</v>
      </c>
      <c r="O27" s="372"/>
      <c r="AB27" s="221"/>
    </row>
    <row r="28" spans="1:28" ht="27.75" customHeight="1">
      <c r="A28" s="229"/>
      <c r="M28" s="229"/>
      <c r="N28" s="359" t="s">
        <v>50</v>
      </c>
      <c r="O28" s="360">
        <f>2800+1500</f>
        <v>4300</v>
      </c>
      <c r="AB28" s="221"/>
    </row>
    <row r="29" spans="1:28">
      <c r="A29" s="229"/>
      <c r="M29" s="229"/>
      <c r="N29" s="363" t="s">
        <v>53</v>
      </c>
      <c r="O29" s="364">
        <f>K15+K16</f>
        <v>2604.19</v>
      </c>
      <c r="AB29" s="221"/>
    </row>
    <row r="30" spans="1:28">
      <c r="A30" s="229"/>
      <c r="M30" s="229"/>
      <c r="N30" s="365" t="s">
        <v>147</v>
      </c>
      <c r="O30" s="366">
        <f>O29/AB7</f>
        <v>6.0802941863180013</v>
      </c>
      <c r="AB30" s="221"/>
    </row>
    <row r="31" spans="1:28">
      <c r="A31" s="229"/>
      <c r="M31" s="229"/>
      <c r="AB31" s="221"/>
    </row>
    <row r="32" spans="1:28">
      <c r="A32" s="229"/>
      <c r="M32" s="229"/>
      <c r="N32" s="189" t="s">
        <v>92</v>
      </c>
      <c r="O32" s="136"/>
      <c r="AB32" s="221"/>
    </row>
    <row r="33" spans="1:28" ht="27.75">
      <c r="A33" s="229"/>
      <c r="M33" s="229"/>
      <c r="N33" s="10" t="s">
        <v>93</v>
      </c>
      <c r="O33" s="136"/>
      <c r="AB33" s="221"/>
    </row>
    <row r="34" spans="1:28">
      <c r="A34" s="229"/>
      <c r="M34" s="229"/>
      <c r="AB34" s="221"/>
    </row>
    <row r="35" spans="1:28">
      <c r="A35" s="229"/>
      <c r="M35" s="229"/>
      <c r="N35" s="673" t="s">
        <v>94</v>
      </c>
      <c r="O35" s="673"/>
      <c r="AB35" s="221"/>
    </row>
    <row r="36" spans="1:28">
      <c r="A36" s="230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0"/>
      <c r="N36" s="672">
        <v>45456</v>
      </c>
      <c r="O36" s="672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2"/>
    </row>
    <row r="38" spans="1:28">
      <c r="A38" s="181"/>
      <c r="B38" s="199"/>
    </row>
    <row r="39" spans="1:28">
      <c r="B39" s="1"/>
      <c r="M39" s="1"/>
    </row>
    <row r="40" spans="1:28">
      <c r="A40" s="197"/>
      <c r="B40" s="1"/>
    </row>
    <row r="41" spans="1:28">
      <c r="B41" s="1"/>
    </row>
    <row r="43" spans="1:28">
      <c r="B43" s="1"/>
    </row>
  </sheetData>
  <mergeCells count="17">
    <mergeCell ref="B1:AB1"/>
    <mergeCell ref="AB4:AB5"/>
    <mergeCell ref="Q20:AA20"/>
    <mergeCell ref="A2:L2"/>
    <mergeCell ref="N2:AB2"/>
    <mergeCell ref="C3:D3"/>
    <mergeCell ref="E3:F3"/>
    <mergeCell ref="K3:L3"/>
    <mergeCell ref="N3:O3"/>
    <mergeCell ref="Q3:AA3"/>
    <mergeCell ref="G3:H3"/>
    <mergeCell ref="N36:O36"/>
    <mergeCell ref="N35:O35"/>
    <mergeCell ref="I3:J3"/>
    <mergeCell ref="AB21:AB22"/>
    <mergeCell ref="N11:O11"/>
    <mergeCell ref="N16:O16"/>
  </mergeCells>
  <conditionalFormatting sqref="O14">
    <cfRule type="cellIs" dxfId="23" priority="6" operator="greaterThan">
      <formula>$O$12</formula>
    </cfRule>
  </conditionalFormatting>
  <conditionalFormatting sqref="O18">
    <cfRule type="cellIs" dxfId="22" priority="5" operator="greaterThan">
      <formula>$O$17</formula>
    </cfRule>
  </conditionalFormatting>
  <conditionalFormatting sqref="O20">
    <cfRule type="cellIs" dxfId="21" priority="4" operator="greaterThan">
      <formula>$O$19</formula>
    </cfRule>
  </conditionalFormatting>
  <conditionalFormatting sqref="O21">
    <cfRule type="cellIs" dxfId="20" priority="9" operator="greaterThan">
      <formula>$K$21</formula>
    </cfRule>
  </conditionalFormatting>
  <conditionalFormatting sqref="O24">
    <cfRule type="cellIs" dxfId="19" priority="1" operator="greaterThan">
      <formula>$O$23</formula>
    </cfRule>
  </conditionalFormatting>
  <conditionalFormatting sqref="O29">
    <cfRule type="cellIs" dxfId="18" priority="2" operator="greaterThan">
      <formula>$O$28</formula>
    </cfRule>
  </conditionalFormatting>
  <conditionalFormatting sqref="AB7">
    <cfRule type="cellIs" dxfId="17" priority="3" operator="greaterThan">
      <formula>$AB$6</formula>
    </cfRule>
  </conditionalFormatting>
  <pageMargins left="0.7" right="0.7" top="0.75" bottom="0.75" header="0.3" footer="0.3"/>
  <pageSetup paperSize="9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CDC7-B36D-401F-B547-889AE0965017}">
  <sheetPr>
    <pageSetUpPr fitToPage="1"/>
  </sheetPr>
  <dimension ref="A1:AA52"/>
  <sheetViews>
    <sheetView workbookViewId="0">
      <selection activeCell="P34" sqref="P34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6.5703125" customWidth="1"/>
    <col min="4" max="4" width="11.28515625" customWidth="1"/>
    <col min="5" max="5" width="10.7109375" customWidth="1"/>
    <col min="6" max="6" width="10.140625" customWidth="1"/>
    <col min="7" max="7" width="10.7109375" hidden="1" customWidth="1" outlineLevel="1"/>
    <col min="8" max="8" width="4.2851562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26.5703125" customWidth="1"/>
    <col min="13" max="13" width="18.140625" bestFit="1" customWidth="1"/>
    <col min="14" max="14" width="2.85546875" customWidth="1"/>
    <col min="15" max="18" width="10.7109375" customWidth="1"/>
    <col min="19" max="19" width="12.7109375" customWidth="1"/>
    <col min="20" max="24" width="12.7109375" hidden="1" customWidth="1" outlineLevel="1"/>
    <col min="25" max="25" width="3.28515625" hidden="1" customWidth="1" outlineLevel="1"/>
    <col min="26" max="26" width="12.7109375" customWidth="1" collapsed="1"/>
    <col min="27" max="27" width="12.7109375" customWidth="1"/>
  </cols>
  <sheetData>
    <row r="1" spans="1:27" ht="25.5">
      <c r="A1" s="187" t="s">
        <v>358</v>
      </c>
      <c r="B1" s="733" t="s">
        <v>359</v>
      </c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187"/>
      <c r="O1" s="187"/>
      <c r="P1" s="187"/>
      <c r="Q1" s="187"/>
      <c r="R1" s="187"/>
    </row>
    <row r="2" spans="1:27" ht="18.75">
      <c r="A2" s="681" t="s">
        <v>30</v>
      </c>
      <c r="B2" s="636"/>
      <c r="C2" s="636"/>
      <c r="D2" s="636"/>
      <c r="E2" s="636"/>
      <c r="F2" s="636"/>
      <c r="G2" s="636"/>
      <c r="H2" s="636"/>
      <c r="I2" s="636"/>
      <c r="J2" s="636"/>
      <c r="K2" s="453"/>
      <c r="L2" s="639"/>
      <c r="M2" s="639"/>
      <c r="N2" s="695"/>
      <c r="O2" s="695"/>
      <c r="P2" s="695"/>
      <c r="Q2" s="695"/>
      <c r="R2" s="695"/>
      <c r="S2" s="695"/>
      <c r="T2" s="695"/>
      <c r="U2" s="695"/>
      <c r="V2" s="695"/>
      <c r="W2" s="695"/>
      <c r="X2" s="695"/>
      <c r="Y2" s="695"/>
      <c r="Z2" s="697"/>
    </row>
    <row r="3" spans="1:27" ht="15.75" customHeight="1">
      <c r="A3" s="229"/>
      <c r="C3" s="640" t="s">
        <v>33</v>
      </c>
      <c r="D3" s="641"/>
      <c r="E3" s="640" t="s">
        <v>34</v>
      </c>
      <c r="F3" s="641"/>
      <c r="G3" s="640"/>
      <c r="H3" s="641"/>
      <c r="I3" s="642" t="s">
        <v>36</v>
      </c>
      <c r="J3" s="724"/>
      <c r="K3" s="229"/>
      <c r="L3" s="670" t="s">
        <v>138</v>
      </c>
      <c r="M3" s="671"/>
      <c r="N3" s="110"/>
      <c r="O3" s="644" t="s">
        <v>13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324"/>
    </row>
    <row r="4" spans="1:27" ht="16.5" customHeight="1">
      <c r="A4" s="216" t="s">
        <v>40</v>
      </c>
      <c r="B4" s="5" t="s">
        <v>41</v>
      </c>
      <c r="C4" s="198">
        <f>M4</f>
        <v>136747.57</v>
      </c>
      <c r="E4" s="198">
        <f>M5</f>
        <v>9121.36</v>
      </c>
      <c r="F4" s="149"/>
      <c r="G4" s="77"/>
      <c r="H4" s="149"/>
      <c r="I4" s="135">
        <f>C4+E4</f>
        <v>145868.93</v>
      </c>
      <c r="J4" s="451"/>
      <c r="K4" s="229"/>
      <c r="L4" s="349" t="s">
        <v>64</v>
      </c>
      <c r="M4" s="350">
        <f>138327.95-1580.38</f>
        <v>136747.57</v>
      </c>
      <c r="N4" s="110"/>
      <c r="O4" s="29" t="s">
        <v>360</v>
      </c>
      <c r="P4" s="28" t="s">
        <v>361</v>
      </c>
      <c r="Q4" s="29" t="s">
        <v>343</v>
      </c>
      <c r="R4" s="29" t="s">
        <v>344</v>
      </c>
      <c r="S4" s="29"/>
      <c r="T4" s="29" t="s">
        <v>321</v>
      </c>
      <c r="U4" s="29"/>
      <c r="V4" s="29"/>
      <c r="W4" s="29"/>
      <c r="X4" s="29"/>
      <c r="Y4" s="29"/>
      <c r="Z4" s="700" t="s">
        <v>49</v>
      </c>
    </row>
    <row r="5" spans="1:27">
      <c r="A5" s="216" t="s">
        <v>51</v>
      </c>
      <c r="B5" s="5" t="s">
        <v>52</v>
      </c>
      <c r="C5" s="161">
        <f>C6+C7+C8+C9+C10+C11+C13+C14+C17+C15+C12+C16</f>
        <v>60401.667391191208</v>
      </c>
      <c r="D5" s="5"/>
      <c r="E5" s="161">
        <f>E6+E7+E8+E9+E10+E11+E13+E14+E17+E15+E12+E16</f>
        <v>39816.769333917015</v>
      </c>
      <c r="F5" s="12"/>
      <c r="G5" s="161">
        <f>G6+G7+G8+G9+G10+G11+G13+G14+G17+G15+G12</f>
        <v>0</v>
      </c>
      <c r="H5" s="12"/>
      <c r="I5" s="8">
        <f>I6+I7+I8+I9+I10+I11+I13+I14+I17+I15+I12+I18+I16</f>
        <v>100218.4367251082</v>
      </c>
      <c r="J5" s="425"/>
      <c r="K5" s="229"/>
      <c r="L5" s="399" t="s">
        <v>67</v>
      </c>
      <c r="M5" s="400">
        <f>4736.24+4385.12</f>
        <v>9121.36</v>
      </c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701"/>
    </row>
    <row r="6" spans="1:27">
      <c r="A6" s="217" t="s">
        <v>54</v>
      </c>
      <c r="B6" s="75" t="s">
        <v>55</v>
      </c>
      <c r="C6" s="17">
        <f>58.43+1034.04+363.74+466+57.97+1997.24+2110.26+762.97+210.85+20.9+30+83+29.6+243+2610.29+23.45+46.94+48.6+254.4+32.95+63.48+86.45+94.45+101.05+339.87+150.1+97.5+178.24+53.13+174.1+48.35+42.8+17.45+22.45+17.7+3948.25+610.75+20.15+64.85+14.3+21.02+39.95+33.5+63.8+224.05+26.85+51.67+31.18+60.05+70</f>
        <v>17252.120000000003</v>
      </c>
      <c r="D6" s="13">
        <f>C6+C7+C8</f>
        <v>19461.340000000004</v>
      </c>
      <c r="E6" s="133">
        <f>81.55+47.43+26.85*2+27.15+74.3+76.8+56.95+74.18+68.5+20.85+91.18+2.25+6.51+44.75+83.27+106.5+95.84+137.02</f>
        <v>1148.73</v>
      </c>
      <c r="F6" s="13">
        <f>E6+E7+E8</f>
        <v>28201.74</v>
      </c>
      <c r="G6" s="133"/>
      <c r="H6" s="13">
        <f>G6+G7+G8</f>
        <v>0</v>
      </c>
      <c r="I6" s="9">
        <f>C6+E6+G6</f>
        <v>18400.850000000002</v>
      </c>
      <c r="J6" s="426">
        <f>I6+I7+I8</f>
        <v>47663.08</v>
      </c>
      <c r="K6" s="229"/>
      <c r="L6" s="351" t="s">
        <v>71</v>
      </c>
      <c r="M6" s="352">
        <f>46.51+11.62+73.78+11.62</f>
        <v>143.53</v>
      </c>
      <c r="O6" s="40">
        <f>Z6/4</f>
        <v>373.505</v>
      </c>
      <c r="P6" s="40">
        <f>O6</f>
        <v>373.505</v>
      </c>
      <c r="Q6" s="40">
        <f>O6</f>
        <v>373.505</v>
      </c>
      <c r="R6" s="40">
        <f>Z6/4</f>
        <v>373.505</v>
      </c>
      <c r="S6" s="40"/>
      <c r="T6" s="40"/>
      <c r="U6" s="41"/>
      <c r="V6" s="41"/>
      <c r="W6" s="41"/>
      <c r="X6" s="41"/>
      <c r="Y6" s="41"/>
      <c r="Z6" s="218">
        <f>583.3+903.23+6.72+0.77</f>
        <v>1494.02</v>
      </c>
    </row>
    <row r="7" spans="1:27">
      <c r="A7" s="219" t="s">
        <v>56</v>
      </c>
      <c r="B7" s="86" t="s">
        <v>57</v>
      </c>
      <c r="C7" s="126">
        <f>350+103.81+600+900</f>
        <v>1953.81</v>
      </c>
      <c r="D7" s="13"/>
      <c r="E7" s="13"/>
      <c r="F7" s="13"/>
      <c r="G7" s="13"/>
      <c r="H7" s="13"/>
      <c r="I7" s="9">
        <f t="shared" ref="I7:I17" si="0">C7+E7+G7</f>
        <v>1953.81</v>
      </c>
      <c r="J7" s="426"/>
      <c r="K7" s="229"/>
      <c r="L7" s="353" t="s">
        <v>74</v>
      </c>
      <c r="M7" s="354" t="s">
        <v>75</v>
      </c>
      <c r="O7" s="49">
        <f>28.63+30.18+28.6+28.58+28.55+28.68+28.82+28.53</f>
        <v>230.57</v>
      </c>
      <c r="P7" s="50">
        <f>47.7+50.75+49.75+49.27+48.02+48.05+48.35+48.67</f>
        <v>390.56000000000006</v>
      </c>
      <c r="Q7" s="50">
        <f>36.12+40.7+40.85+40.77+40.75+37.7+36.27</f>
        <v>273.15999999999997</v>
      </c>
      <c r="R7" s="50">
        <f>38.82+39.9+39.73+38.88+38.83+38.93+107.11</f>
        <v>342.2</v>
      </c>
      <c r="S7" s="50">
        <v>208.23</v>
      </c>
      <c r="T7" s="50"/>
      <c r="U7" s="51"/>
      <c r="V7" s="51"/>
      <c r="W7" s="51"/>
      <c r="X7" s="51"/>
      <c r="Y7" s="51"/>
      <c r="Z7" s="443">
        <f t="shared" ref="Z7" si="1">O7+P7+Q7+R7+S7+T7+Y7+U7+V7+W7+X7</f>
        <v>1444.72</v>
      </c>
      <c r="AA7" s="120">
        <f>Z6-Z7</f>
        <v>49.299999999999955</v>
      </c>
    </row>
    <row r="8" spans="1:27">
      <c r="A8" s="220" t="s">
        <v>58</v>
      </c>
      <c r="B8" s="76" t="s">
        <v>59</v>
      </c>
      <c r="C8" s="144">
        <f>103.78+124.97+26.66</f>
        <v>255.41</v>
      </c>
      <c r="D8" s="14"/>
      <c r="E8" s="146">
        <f>6817.06+18389.61+1071.88+774.46</f>
        <v>27053.010000000002</v>
      </c>
      <c r="F8" s="14"/>
      <c r="G8" s="146"/>
      <c r="H8" s="14"/>
      <c r="I8" s="9">
        <f t="shared" si="0"/>
        <v>27308.420000000002</v>
      </c>
      <c r="J8" s="1"/>
      <c r="K8" s="229"/>
      <c r="L8" s="355" t="s">
        <v>78</v>
      </c>
      <c r="M8" s="356">
        <v>13</v>
      </c>
      <c r="Z8" s="221"/>
    </row>
    <row r="9" spans="1:27">
      <c r="A9" s="217" t="s">
        <v>60</v>
      </c>
      <c r="B9" s="75" t="s">
        <v>61</v>
      </c>
      <c r="C9" s="129">
        <f>(16784.63-C13)*1.42</f>
        <v>10770.1746</v>
      </c>
      <c r="D9" s="141">
        <f>C9+C10+C11+C13+C12</f>
        <v>33148.0573911912</v>
      </c>
      <c r="E9" s="148">
        <f>((280.63*15+45.8*14+45.57*13)-E13)*1.42</f>
        <v>4960.145199999999</v>
      </c>
      <c r="F9" s="128">
        <f>E9+E10+E11+E13+E12</f>
        <v>9170.6093339170075</v>
      </c>
      <c r="G9" s="156"/>
      <c r="H9" s="128">
        <f>G9+G10+G11+G13+G12</f>
        <v>0</v>
      </c>
      <c r="I9" s="21">
        <f t="shared" si="0"/>
        <v>15730.319799999999</v>
      </c>
      <c r="J9" s="427">
        <f>I9+I10+I11+I13+I12</f>
        <v>42318.666725108211</v>
      </c>
      <c r="K9" s="229"/>
      <c r="L9" s="357" t="s">
        <v>81</v>
      </c>
      <c r="M9" s="358">
        <v>12</v>
      </c>
      <c r="Z9" s="221"/>
    </row>
    <row r="10" spans="1:27">
      <c r="A10" s="219" t="s">
        <v>62</v>
      </c>
      <c r="B10" s="86" t="s">
        <v>63</v>
      </c>
      <c r="C10" s="126">
        <f>C9*0.2359</f>
        <v>2540.6841881400001</v>
      </c>
      <c r="D10" s="13"/>
      <c r="E10" s="145">
        <f>E9*0.2359</f>
        <v>1170.0982526799999</v>
      </c>
      <c r="F10" s="83"/>
      <c r="G10" s="126">
        <f>G9*0.2359</f>
        <v>0</v>
      </c>
      <c r="H10" s="83"/>
      <c r="I10" s="22">
        <f t="shared" si="0"/>
        <v>3710.7824408199999</v>
      </c>
      <c r="J10" s="1"/>
      <c r="K10" s="229"/>
      <c r="Z10" s="221"/>
    </row>
    <row r="11" spans="1:27">
      <c r="A11" s="219" t="s">
        <v>65</v>
      </c>
      <c r="B11" s="86" t="s">
        <v>66</v>
      </c>
      <c r="C11" s="126">
        <f>(C9+C10)*0.08</f>
        <v>1064.8687030512001</v>
      </c>
      <c r="D11" s="13"/>
      <c r="E11" s="145">
        <f>(E9+E10)*0.08</f>
        <v>490.41947621439994</v>
      </c>
      <c r="F11" s="83"/>
      <c r="G11" s="126">
        <f>(G9+G10)*0.08</f>
        <v>0</v>
      </c>
      <c r="H11" s="83"/>
      <c r="I11" s="22">
        <f t="shared" si="0"/>
        <v>1555.2881792656001</v>
      </c>
      <c r="J11" s="1"/>
      <c r="K11" s="229"/>
      <c r="L11" s="674" t="s">
        <v>85</v>
      </c>
      <c r="M11" s="675"/>
      <c r="Z11" s="221"/>
    </row>
    <row r="12" spans="1:27">
      <c r="A12" s="222" t="s">
        <v>68</v>
      </c>
      <c r="B12" s="92" t="s">
        <v>21</v>
      </c>
      <c r="C12" s="127">
        <f>(C4)*0.07</f>
        <v>9572.3299000000006</v>
      </c>
      <c r="D12" s="133"/>
      <c r="E12" s="147">
        <f>(E13+E11+E10+E9)*0.07</f>
        <v>599.94640502260802</v>
      </c>
      <c r="F12" s="123"/>
      <c r="G12" s="127">
        <f>(G13+G11+G10+G9)*0.07</f>
        <v>0</v>
      </c>
      <c r="H12" s="123"/>
      <c r="I12" s="22">
        <f t="shared" si="0"/>
        <v>10172.276305022609</v>
      </c>
      <c r="J12" s="1"/>
      <c r="K12" s="229"/>
      <c r="L12" s="359" t="s">
        <v>50</v>
      </c>
      <c r="M12" s="360">
        <f>8504.71+11647.47-16.39-875.26</f>
        <v>19260.530000000002</v>
      </c>
      <c r="Z12" s="221"/>
    </row>
    <row r="13" spans="1:27">
      <c r="A13" s="219" t="s">
        <v>69</v>
      </c>
      <c r="B13" s="86" t="s">
        <v>70</v>
      </c>
      <c r="C13" s="130">
        <v>9200</v>
      </c>
      <c r="D13" s="134"/>
      <c r="E13" s="150">
        <f>50*3*6+50*3*7</f>
        <v>1950</v>
      </c>
      <c r="F13" s="125"/>
      <c r="G13" s="130"/>
      <c r="H13" s="125"/>
      <c r="I13" s="23">
        <f t="shared" si="0"/>
        <v>11150</v>
      </c>
      <c r="J13" s="428"/>
      <c r="K13" s="229"/>
      <c r="L13" s="361" t="s">
        <v>53</v>
      </c>
      <c r="M13" s="461">
        <f>I6+I7</f>
        <v>20354.660000000003</v>
      </c>
      <c r="Z13" s="221"/>
    </row>
    <row r="14" spans="1:27">
      <c r="A14" s="223" t="s">
        <v>72</v>
      </c>
      <c r="B14" s="75" t="s">
        <v>73</v>
      </c>
      <c r="C14" s="17">
        <f>4800+46.75+58.1+160</f>
        <v>5064.8500000000004</v>
      </c>
      <c r="D14" s="145">
        <f>C14+C17+C15+C16</f>
        <v>7792.2699999999995</v>
      </c>
      <c r="E14" s="145">
        <f>160+23.4+108.49</f>
        <v>291.89</v>
      </c>
      <c r="F14" s="145">
        <f>E14+E17+E15</f>
        <v>2444.42</v>
      </c>
      <c r="G14" s="145"/>
      <c r="H14" s="145">
        <f>G14+G17+G15</f>
        <v>0</v>
      </c>
      <c r="I14" s="9">
        <f t="shared" si="0"/>
        <v>5356.7400000000007</v>
      </c>
      <c r="J14" s="1">
        <f>I14+I17+I15+I18+I16</f>
        <v>10236.69</v>
      </c>
      <c r="K14" s="229"/>
      <c r="Z14" s="221"/>
    </row>
    <row r="15" spans="1:27">
      <c r="A15" s="224" t="s">
        <v>76</v>
      </c>
      <c r="B15" s="86" t="s">
        <v>77</v>
      </c>
      <c r="C15" s="126">
        <f>235.98+505.66+279/2+41.96+65.92+45.6+156.77+32.77+18.78+108.58+50+51.98</f>
        <v>1453.4999999999998</v>
      </c>
      <c r="D15" s="13"/>
      <c r="E15" s="145">
        <f>63.93+179.17+287.13+851.97</f>
        <v>1382.2</v>
      </c>
      <c r="F15" s="13"/>
      <c r="G15" s="13"/>
      <c r="H15" s="13"/>
      <c r="I15" s="9">
        <f t="shared" si="0"/>
        <v>2835.7</v>
      </c>
      <c r="J15" s="1"/>
      <c r="K15" s="229"/>
      <c r="L15" s="651" t="s">
        <v>89</v>
      </c>
      <c r="M15" s="652"/>
      <c r="Z15" s="221"/>
    </row>
    <row r="16" spans="1:27">
      <c r="A16" s="224" t="s">
        <v>139</v>
      </c>
      <c r="B16" s="86" t="s">
        <v>140</v>
      </c>
      <c r="C16" s="126">
        <f>100+293.19</f>
        <v>393.19</v>
      </c>
      <c r="D16" s="13"/>
      <c r="E16" s="13"/>
      <c r="F16" s="13"/>
      <c r="G16" s="13"/>
      <c r="H16" s="13"/>
      <c r="I16" s="9">
        <f>C16</f>
        <v>393.19</v>
      </c>
      <c r="J16" s="1"/>
      <c r="K16" s="229"/>
      <c r="L16" s="359" t="s">
        <v>50</v>
      </c>
      <c r="M16" s="360">
        <f>13735.53+21103.86+154.5+19.83</f>
        <v>35013.72</v>
      </c>
      <c r="Z16" s="221"/>
    </row>
    <row r="17" spans="1:26">
      <c r="A17" s="219" t="s">
        <v>79</v>
      </c>
      <c r="B17" s="86" t="s">
        <v>80</v>
      </c>
      <c r="C17" s="17">
        <f>395.64+125+33.95+123.77+104.47+97.9</f>
        <v>880.73</v>
      </c>
      <c r="D17" s="13"/>
      <c r="E17" s="13">
        <f>3.6+62+1.8+63.3+22.37+253.96+98.26+265.04</f>
        <v>770.32999999999993</v>
      </c>
      <c r="F17" s="13"/>
      <c r="G17" s="13"/>
      <c r="H17" s="13"/>
      <c r="I17" s="9">
        <f t="shared" si="0"/>
        <v>1651.06</v>
      </c>
      <c r="J17" s="1"/>
      <c r="K17" s="229"/>
      <c r="L17" s="363" t="s">
        <v>53</v>
      </c>
      <c r="M17" s="364">
        <f>J9-I12</f>
        <v>32146.390420085601</v>
      </c>
      <c r="Z17" s="221"/>
    </row>
    <row r="18" spans="1:26">
      <c r="A18" s="219"/>
      <c r="B18" s="86"/>
      <c r="C18" s="17"/>
      <c r="D18" s="13"/>
      <c r="E18" s="13"/>
      <c r="F18" s="13"/>
      <c r="G18" s="13"/>
      <c r="H18" s="13"/>
      <c r="I18" s="9"/>
      <c r="J18" s="1"/>
      <c r="K18" s="229"/>
      <c r="L18" s="375" t="s">
        <v>322</v>
      </c>
      <c r="M18" s="440">
        <f>M16/Z6</f>
        <v>23.435911165847848</v>
      </c>
      <c r="Z18" s="221"/>
    </row>
    <row r="19" spans="1:26">
      <c r="A19" s="391" t="s">
        <v>82</v>
      </c>
      <c r="B19" s="344" t="s">
        <v>83</v>
      </c>
      <c r="C19" s="345">
        <f>C4-C5</f>
        <v>76345.902608808799</v>
      </c>
      <c r="D19" s="405">
        <f>C19/C4</f>
        <v>0.55829805684158629</v>
      </c>
      <c r="E19" s="345">
        <f>E4-E5</f>
        <v>-30695.409333917014</v>
      </c>
      <c r="F19" s="346">
        <f>E19/E4</f>
        <v>-3.3652228761848026</v>
      </c>
      <c r="G19" s="462">
        <f>G4-G5</f>
        <v>0</v>
      </c>
      <c r="H19" s="346" t="e">
        <f>G19/G4</f>
        <v>#DIV/0!</v>
      </c>
      <c r="I19" s="348">
        <f>I4-I5</f>
        <v>45650.493274891793</v>
      </c>
      <c r="J19" s="405">
        <f>I19/I4</f>
        <v>0.3129555641142483</v>
      </c>
      <c r="K19" s="229"/>
      <c r="L19" s="377" t="s">
        <v>141</v>
      </c>
      <c r="M19" s="470">
        <f>M17/Z7</f>
        <v>22.250948571408717</v>
      </c>
      <c r="Z19" s="221"/>
    </row>
    <row r="20" spans="1:26">
      <c r="A20" s="393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433">
        <f>M4-45642.35-63796.85</f>
        <v>27308.370000000003</v>
      </c>
      <c r="J20" s="452">
        <f>I20/M4</f>
        <v>0.19969912445244914</v>
      </c>
      <c r="K20" s="229"/>
      <c r="O20" s="644" t="s">
        <v>90</v>
      </c>
      <c r="P20" s="645"/>
      <c r="Q20" s="645"/>
      <c r="R20" s="645"/>
      <c r="S20" s="645"/>
      <c r="T20" s="645"/>
      <c r="U20" s="645"/>
      <c r="V20" s="645"/>
      <c r="W20" s="645"/>
      <c r="X20" s="645"/>
      <c r="Y20" s="646"/>
      <c r="Z20" s="324"/>
    </row>
    <row r="21" spans="1:26">
      <c r="A21" s="229"/>
      <c r="C21" s="101"/>
      <c r="D21" s="101"/>
      <c r="E21" s="101"/>
      <c r="F21" s="101"/>
      <c r="G21" s="101"/>
      <c r="H21" s="101"/>
      <c r="K21" s="229"/>
      <c r="L21" s="373" t="s">
        <v>100</v>
      </c>
      <c r="M21" s="374"/>
      <c r="O21" s="29" t="s">
        <v>360</v>
      </c>
      <c r="P21" s="28" t="s">
        <v>361</v>
      </c>
      <c r="Q21" s="29" t="s">
        <v>343</v>
      </c>
      <c r="R21" s="29" t="s">
        <v>344</v>
      </c>
      <c r="S21" s="29">
        <f>S4</f>
        <v>0</v>
      </c>
      <c r="T21" s="29"/>
      <c r="U21" s="28"/>
      <c r="V21" s="28"/>
      <c r="W21" s="28"/>
      <c r="X21" s="28"/>
      <c r="Y21" s="28"/>
      <c r="Z21" s="684" t="s">
        <v>49</v>
      </c>
    </row>
    <row r="22" spans="1:26">
      <c r="A22" s="395" t="s">
        <v>86</v>
      </c>
      <c r="B22" s="444" t="s">
        <v>362</v>
      </c>
      <c r="C22" s="445" t="s">
        <v>323</v>
      </c>
      <c r="D22" s="103"/>
      <c r="E22" s="103"/>
      <c r="F22" s="103"/>
      <c r="G22" s="103"/>
      <c r="H22" s="103"/>
      <c r="K22" s="229"/>
      <c r="L22" s="367" t="s">
        <v>50</v>
      </c>
      <c r="M22" s="368">
        <f>Z6/M6</f>
        <v>10.40911307740542</v>
      </c>
      <c r="O22" s="66">
        <v>1</v>
      </c>
      <c r="P22" s="66">
        <v>2</v>
      </c>
      <c r="Q22" s="66">
        <v>3</v>
      </c>
      <c r="R22" s="66">
        <v>4</v>
      </c>
      <c r="S22" s="66">
        <v>5</v>
      </c>
      <c r="T22" s="66">
        <v>6</v>
      </c>
      <c r="U22" s="66">
        <v>7</v>
      </c>
      <c r="V22" s="66">
        <v>8</v>
      </c>
      <c r="W22" s="66">
        <v>9</v>
      </c>
      <c r="X22" s="66">
        <v>10</v>
      </c>
      <c r="Y22" s="66">
        <v>11</v>
      </c>
      <c r="Z22" s="685"/>
    </row>
    <row r="23" spans="1:26">
      <c r="A23" s="226" t="s">
        <v>88</v>
      </c>
      <c r="B23" s="413">
        <f>J6/I5</f>
        <v>0.47559193255764232</v>
      </c>
      <c r="C23" s="410">
        <f>(8504.71+11647.47)/(45642.35+63796.85)</f>
        <v>0.18414041769311179</v>
      </c>
      <c r="D23" s="103"/>
      <c r="E23" s="103"/>
      <c r="F23" s="103"/>
      <c r="G23" s="103"/>
      <c r="H23" s="103"/>
      <c r="K23" s="229"/>
      <c r="L23" s="369" t="s">
        <v>53</v>
      </c>
      <c r="M23" s="370">
        <f>Z7/M6</f>
        <v>10.065630878561974</v>
      </c>
      <c r="O23" s="69">
        <f>Z23/4</f>
        <v>2025</v>
      </c>
      <c r="P23" s="69">
        <f>O23</f>
        <v>2025</v>
      </c>
      <c r="Q23" s="69">
        <f>O23</f>
        <v>2025</v>
      </c>
      <c r="R23" s="69">
        <f>Z23/4</f>
        <v>2025</v>
      </c>
      <c r="S23" s="69"/>
      <c r="T23" s="69"/>
      <c r="U23" s="69"/>
      <c r="V23" s="69"/>
      <c r="W23" s="69"/>
      <c r="X23" s="69"/>
      <c r="Y23" s="69"/>
      <c r="Z23" s="326">
        <f>M27</f>
        <v>8100</v>
      </c>
    </row>
    <row r="24" spans="1:26">
      <c r="A24" s="227" t="s">
        <v>89</v>
      </c>
      <c r="B24" s="413">
        <f>J9/I5</f>
        <v>0.42226428697132046</v>
      </c>
      <c r="C24" s="410">
        <f>(13735.53+21103.86)/(45642.35+63796.85)</f>
        <v>0.31834470646715252</v>
      </c>
      <c r="D24" s="103"/>
      <c r="E24" s="103"/>
      <c r="F24" s="103"/>
      <c r="G24" s="103"/>
      <c r="H24" s="103"/>
      <c r="K24" s="229"/>
      <c r="L24" s="365" t="s">
        <v>146</v>
      </c>
      <c r="M24" s="366">
        <f>M23*M19</f>
        <v>223.96983501766601</v>
      </c>
      <c r="O24" s="333">
        <f>4800+235.98+46.75+505.66+279/2+41.96+65.92</f>
        <v>5835.7699999999995</v>
      </c>
      <c r="P24" s="72">
        <f>18.78+58.1+108.58</f>
        <v>185.45999999999998</v>
      </c>
      <c r="Q24" s="72">
        <f>45.67+156.77+32.77</f>
        <v>235.21</v>
      </c>
      <c r="R24" s="72">
        <f>160+50+51.98+530.23+851.97+160</f>
        <v>1804.18</v>
      </c>
      <c r="S24" s="72">
        <f>23.4+108.49</f>
        <v>131.88999999999999</v>
      </c>
      <c r="T24" s="72"/>
      <c r="U24" s="72"/>
      <c r="V24" s="72"/>
      <c r="W24" s="72"/>
      <c r="X24" s="72"/>
      <c r="Y24" s="72"/>
      <c r="Z24" s="436">
        <f>O24+P24+Q24+R24+S24+T24+Y24+U24+V24+W24+X24</f>
        <v>8192.51</v>
      </c>
    </row>
    <row r="25" spans="1:26">
      <c r="A25" s="228" t="s">
        <v>91</v>
      </c>
      <c r="B25" s="414">
        <f>J14/I5</f>
        <v>0.10214378047103737</v>
      </c>
      <c r="C25" s="381">
        <f>(17344.97+22215.42)/(45642.97+63796.85)</f>
        <v>0.36148076632435977</v>
      </c>
      <c r="K25" s="229"/>
      <c r="Z25" s="221"/>
    </row>
    <row r="26" spans="1:26">
      <c r="A26" s="229"/>
      <c r="K26" s="229"/>
      <c r="L26" s="371" t="s">
        <v>90</v>
      </c>
      <c r="M26" s="372"/>
      <c r="Z26" s="221"/>
    </row>
    <row r="27" spans="1:26">
      <c r="A27" s="229"/>
      <c r="K27" s="229"/>
      <c r="L27" s="359" t="s">
        <v>50</v>
      </c>
      <c r="M27" s="360">
        <v>8100</v>
      </c>
      <c r="Z27" s="221"/>
    </row>
    <row r="28" spans="1:26">
      <c r="A28" s="229"/>
      <c r="K28" s="229"/>
      <c r="L28" s="363" t="s">
        <v>53</v>
      </c>
      <c r="M28" s="364">
        <f>I14+I15</f>
        <v>8192.44</v>
      </c>
      <c r="Z28" s="221"/>
    </row>
    <row r="29" spans="1:26">
      <c r="A29" s="229"/>
      <c r="K29" s="229"/>
      <c r="L29" s="365" t="s">
        <v>147</v>
      </c>
      <c r="M29" s="366">
        <f>M28/Z7</f>
        <v>5.6706074533473618</v>
      </c>
      <c r="Z29" s="221"/>
    </row>
    <row r="30" spans="1:26">
      <c r="A30" s="229"/>
      <c r="K30" s="229"/>
      <c r="Z30" s="221"/>
    </row>
    <row r="31" spans="1:26">
      <c r="A31" s="229"/>
      <c r="K31" s="229"/>
      <c r="L31" s="189" t="s">
        <v>92</v>
      </c>
      <c r="M31" s="136"/>
      <c r="Z31" s="221"/>
    </row>
    <row r="32" spans="1:26" ht="27.75" customHeight="1">
      <c r="A32" s="229"/>
      <c r="K32" s="229"/>
      <c r="L32" s="10" t="s">
        <v>93</v>
      </c>
      <c r="M32" s="136"/>
      <c r="Z32" s="221"/>
    </row>
    <row r="33" spans="1:26">
      <c r="A33" s="229"/>
      <c r="K33" s="229"/>
      <c r="Z33" s="221"/>
    </row>
    <row r="34" spans="1:26">
      <c r="A34" s="229"/>
      <c r="K34" s="229"/>
      <c r="L34" s="621" t="s">
        <v>94</v>
      </c>
      <c r="M34" s="622"/>
      <c r="Z34" s="221"/>
    </row>
    <row r="35" spans="1:26">
      <c r="A35" s="229"/>
      <c r="K35" s="229"/>
      <c r="L35" s="732">
        <v>45384</v>
      </c>
      <c r="M35" s="732"/>
      <c r="Z35" s="221"/>
    </row>
    <row r="36" spans="1:26">
      <c r="A36" s="230"/>
      <c r="B36" s="231"/>
      <c r="C36" s="231"/>
      <c r="D36" s="231"/>
      <c r="E36" s="231"/>
      <c r="F36" s="231"/>
      <c r="G36" s="231"/>
      <c r="H36" s="231"/>
      <c r="I36" s="231"/>
      <c r="J36" s="231"/>
      <c r="K36" s="230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2"/>
    </row>
    <row r="37" spans="1:26">
      <c r="K37" s="1"/>
    </row>
    <row r="38" spans="1:26">
      <c r="A38" s="197"/>
      <c r="B38" s="1"/>
    </row>
    <row r="39" spans="1:26">
      <c r="B39" s="1"/>
    </row>
    <row r="41" spans="1:26">
      <c r="B41" s="295" t="s">
        <v>363</v>
      </c>
      <c r="C41" s="295">
        <v>30</v>
      </c>
      <c r="D41" s="295">
        <v>60</v>
      </c>
      <c r="E41" s="295">
        <v>10</v>
      </c>
      <c r="G41" s="295"/>
      <c r="H41" s="295"/>
      <c r="I41" s="670" t="s">
        <v>364</v>
      </c>
      <c r="J41" s="671"/>
    </row>
    <row r="42" spans="1:26">
      <c r="A42" s="180" t="s">
        <v>182</v>
      </c>
      <c r="B42" s="295">
        <v>81178.53</v>
      </c>
      <c r="C42" s="328">
        <f>ROUND(B42*0.3,2)</f>
        <v>24353.56</v>
      </c>
      <c r="D42" s="328">
        <f>ROUND(B42*0.6,2)</f>
        <v>48707.12</v>
      </c>
      <c r="E42" s="328">
        <f>ROUND(B42*0.1,2)+0.01</f>
        <v>8117.8600000000006</v>
      </c>
      <c r="F42" s="1">
        <f>C42+D42+E42</f>
        <v>81178.540000000008</v>
      </c>
      <c r="G42" s="295"/>
      <c r="H42" s="295"/>
      <c r="I42" s="229">
        <v>80294.59</v>
      </c>
      <c r="J42" s="221">
        <f>B42-I42</f>
        <v>883.94000000000233</v>
      </c>
    </row>
    <row r="43" spans="1:26">
      <c r="A43" s="180" t="s">
        <v>181</v>
      </c>
      <c r="B43" s="328">
        <v>57149.42</v>
      </c>
      <c r="C43" s="328">
        <f>ROUND(B43*0.3,2)</f>
        <v>17144.830000000002</v>
      </c>
      <c r="D43" s="328">
        <f>ROUND(B43*0.6,2)</f>
        <v>34289.65</v>
      </c>
      <c r="E43" s="328">
        <f>ROUND(B43*0.1,2)-0.01</f>
        <v>5714.9299999999994</v>
      </c>
      <c r="F43" s="1">
        <f>C43+D43+E43</f>
        <v>57149.41</v>
      </c>
      <c r="G43" s="295"/>
      <c r="H43" s="295"/>
      <c r="I43" s="229">
        <v>56452.98</v>
      </c>
      <c r="J43" s="221">
        <f t="shared" ref="J43:J44" si="2">B43-I43</f>
        <v>696.43999999999505</v>
      </c>
    </row>
    <row r="44" spans="1:26">
      <c r="A44" s="180" t="s">
        <v>365</v>
      </c>
      <c r="B44" s="329">
        <f>B42+B43</f>
        <v>138327.95000000001</v>
      </c>
      <c r="C44" s="328">
        <f>C42+C43</f>
        <v>41498.39</v>
      </c>
      <c r="D44" s="328">
        <f>D42+D43</f>
        <v>82996.77</v>
      </c>
      <c r="E44" s="328">
        <f>E42+E43</f>
        <v>13832.79</v>
      </c>
      <c r="F44" s="1">
        <f>F42+F43</f>
        <v>138327.95000000001</v>
      </c>
      <c r="G44" s="295"/>
      <c r="H44" s="295"/>
      <c r="I44" s="229">
        <f>I42+I43</f>
        <v>136747.57</v>
      </c>
      <c r="J44" s="221">
        <f t="shared" si="2"/>
        <v>1580.3800000000047</v>
      </c>
    </row>
    <row r="45" spans="1:26">
      <c r="I45" s="229"/>
      <c r="J45" s="221"/>
    </row>
    <row r="46" spans="1:26">
      <c r="I46" s="230"/>
      <c r="J46" s="473">
        <f>M5-J44</f>
        <v>7540.9799999999959</v>
      </c>
    </row>
    <row r="49" spans="1:4">
      <c r="B49" s="295" t="s">
        <v>363</v>
      </c>
      <c r="C49" t="s">
        <v>366</v>
      </c>
      <c r="D49" t="s">
        <v>367</v>
      </c>
    </row>
    <row r="50" spans="1:4">
      <c r="A50" s="180" t="s">
        <v>182</v>
      </c>
      <c r="B50" s="295">
        <v>81178.53</v>
      </c>
      <c r="C50">
        <v>80294.59</v>
      </c>
      <c r="D50">
        <f>B50-C50</f>
        <v>883.94000000000233</v>
      </c>
    </row>
    <row r="51" spans="1:4">
      <c r="A51" s="180" t="s">
        <v>181</v>
      </c>
      <c r="B51" s="328">
        <v>57149.42</v>
      </c>
      <c r="C51">
        <v>56452.98</v>
      </c>
      <c r="D51">
        <f t="shared" ref="D51:D52" si="3">B51-C51</f>
        <v>696.43999999999505</v>
      </c>
    </row>
    <row r="52" spans="1:4">
      <c r="A52" s="180" t="s">
        <v>365</v>
      </c>
      <c r="B52" s="329">
        <f>B50+B51</f>
        <v>138327.95000000001</v>
      </c>
      <c r="C52">
        <f>C50+C51</f>
        <v>136747.57</v>
      </c>
      <c r="D52">
        <f t="shared" si="3"/>
        <v>1580.3800000000047</v>
      </c>
    </row>
  </sheetData>
  <mergeCells count="17">
    <mergeCell ref="B1:M1"/>
    <mergeCell ref="Z4:Z5"/>
    <mergeCell ref="O20:Y20"/>
    <mergeCell ref="A2:J2"/>
    <mergeCell ref="L2:Z2"/>
    <mergeCell ref="C3:D3"/>
    <mergeCell ref="E3:F3"/>
    <mergeCell ref="I3:J3"/>
    <mergeCell ref="L3:M3"/>
    <mergeCell ref="O3:Y3"/>
    <mergeCell ref="I41:J41"/>
    <mergeCell ref="L35:M35"/>
    <mergeCell ref="L34:M34"/>
    <mergeCell ref="G3:H3"/>
    <mergeCell ref="Z21:Z22"/>
    <mergeCell ref="L11:M11"/>
    <mergeCell ref="L15:M15"/>
  </mergeCells>
  <conditionalFormatting sqref="M13">
    <cfRule type="cellIs" dxfId="16" priority="6" operator="greaterThan">
      <formula>$M$12</formula>
    </cfRule>
  </conditionalFormatting>
  <conditionalFormatting sqref="M17">
    <cfRule type="cellIs" dxfId="15" priority="5" operator="greaterThan">
      <formula>$M$16</formula>
    </cfRule>
  </conditionalFormatting>
  <conditionalFormatting sqref="M19">
    <cfRule type="cellIs" dxfId="14" priority="4" operator="greaterThan">
      <formula>$M$18</formula>
    </cfRule>
  </conditionalFormatting>
  <conditionalFormatting sqref="M23">
    <cfRule type="cellIs" dxfId="13" priority="3" operator="greaterThan">
      <formula>$M$22</formula>
    </cfRule>
  </conditionalFormatting>
  <conditionalFormatting sqref="M28">
    <cfRule type="cellIs" dxfId="12" priority="2" operator="greaterThan">
      <formula>$M$27</formula>
    </cfRule>
  </conditionalFormatting>
  <conditionalFormatting sqref="Z7">
    <cfRule type="cellIs" dxfId="11" priority="1" operator="greaterThan">
      <formula>$Z$6</formula>
    </cfRule>
  </conditionalFormatting>
  <pageMargins left="0.7" right="0.7" top="0.75" bottom="0.75" header="0.3" footer="0.3"/>
  <pageSetup paperSize="9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DCB5F-B3AE-4BFD-AB16-F7B83C685522}">
  <sheetPr>
    <pageSetUpPr fitToPage="1"/>
  </sheetPr>
  <dimension ref="A1:AA38"/>
  <sheetViews>
    <sheetView workbookViewId="0">
      <selection activeCell="B24" sqref="B24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2.42578125" customWidth="1"/>
    <col min="4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23.7109375" customWidth="1"/>
    <col min="11" max="11" width="18.140625" bestFit="1" customWidth="1"/>
    <col min="12" max="12" width="2.85546875" customWidth="1"/>
    <col min="13" max="13" width="11.7109375" customWidth="1"/>
    <col min="14" max="15" width="10.7109375" customWidth="1"/>
    <col min="16" max="16" width="10.7109375" hidden="1" customWidth="1" outlineLevel="1"/>
    <col min="17" max="23" width="12.7109375" hidden="1" customWidth="1" outlineLevel="1"/>
    <col min="24" max="24" width="12.7109375" customWidth="1" collapsed="1"/>
    <col min="25" max="25" width="12.7109375" customWidth="1"/>
  </cols>
  <sheetData>
    <row r="1" spans="1:27" ht="25.5">
      <c r="A1" s="187" t="s">
        <v>368</v>
      </c>
      <c r="B1" s="734" t="s">
        <v>369</v>
      </c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735"/>
      <c r="S1" s="735"/>
      <c r="T1" s="735"/>
      <c r="U1" s="735"/>
      <c r="V1" s="735"/>
      <c r="W1" s="735"/>
      <c r="X1" s="735"/>
    </row>
    <row r="2" spans="1:27" ht="18.75">
      <c r="A2" s="655" t="s">
        <v>30</v>
      </c>
      <c r="B2" s="656"/>
      <c r="C2" s="656"/>
      <c r="D2" s="656"/>
      <c r="E2" s="656"/>
      <c r="F2" s="656"/>
      <c r="G2" s="656"/>
      <c r="H2" s="706"/>
      <c r="I2" s="7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707"/>
    </row>
    <row r="3" spans="1:27" ht="30" customHeight="1">
      <c r="A3" s="214"/>
      <c r="B3" s="200"/>
      <c r="C3" s="690" t="s">
        <v>32</v>
      </c>
      <c r="D3" s="691"/>
      <c r="E3" s="713" t="s">
        <v>370</v>
      </c>
      <c r="F3" s="714"/>
      <c r="G3" s="710" t="s">
        <v>36</v>
      </c>
      <c r="H3" s="711"/>
      <c r="J3" s="670" t="s">
        <v>138</v>
      </c>
      <c r="K3" s="671"/>
      <c r="L3" s="110"/>
      <c r="M3" s="644" t="s">
        <v>13</v>
      </c>
      <c r="N3" s="645"/>
      <c r="O3" s="645"/>
      <c r="P3" s="645"/>
      <c r="Q3" s="645"/>
      <c r="R3" s="645"/>
      <c r="S3" s="645"/>
      <c r="T3" s="645"/>
      <c r="U3" s="645"/>
      <c r="V3" s="645"/>
      <c r="W3" s="646"/>
      <c r="X3" s="324"/>
    </row>
    <row r="4" spans="1:27" ht="14.25" customHeight="1">
      <c r="A4" s="216" t="s">
        <v>40</v>
      </c>
      <c r="B4" s="201" t="s">
        <v>41</v>
      </c>
      <c r="C4" s="198">
        <f>K4+K5</f>
        <v>52875.229999999996</v>
      </c>
      <c r="D4" s="11"/>
      <c r="E4" s="203"/>
      <c r="F4" s="11"/>
      <c r="G4" s="135">
        <f>C4</f>
        <v>52875.229999999996</v>
      </c>
      <c r="H4" s="385">
        <f>D4+F4</f>
        <v>0</v>
      </c>
      <c r="J4" s="349" t="s">
        <v>64</v>
      </c>
      <c r="K4" s="350">
        <v>48000</v>
      </c>
      <c r="L4" s="110"/>
      <c r="M4" s="28" t="s">
        <v>371</v>
      </c>
      <c r="N4" s="28" t="s">
        <v>372</v>
      </c>
      <c r="O4" s="28"/>
      <c r="P4" s="29"/>
      <c r="Q4" s="29"/>
      <c r="R4" s="29"/>
      <c r="S4" s="29"/>
      <c r="T4" s="29"/>
      <c r="U4" s="29"/>
      <c r="V4" s="29"/>
      <c r="W4" s="29"/>
      <c r="X4" s="700" t="s">
        <v>49</v>
      </c>
    </row>
    <row r="5" spans="1:27">
      <c r="A5" s="216" t="s">
        <v>51</v>
      </c>
      <c r="B5" s="201" t="s">
        <v>52</v>
      </c>
      <c r="C5" s="161">
        <f>C6+C7+C8+C9+C10+C11+C13+C14+C17+C15+C12+C16</f>
        <v>36587.505193085599</v>
      </c>
      <c r="D5" s="12"/>
      <c r="E5" s="12">
        <f>E6+E7+E8+E9+E10+E11+E13+E14+E17+E15+E12</f>
        <v>0</v>
      </c>
      <c r="F5" s="12"/>
      <c r="G5" s="163">
        <f>G6+G7+G8+G9+G10+G11+G13+G14+G17+G15+G12+G16</f>
        <v>36587.505193085599</v>
      </c>
      <c r="H5" s="386"/>
      <c r="J5" s="399" t="s">
        <v>67</v>
      </c>
      <c r="K5" s="400">
        <f>769.08+4106.15</f>
        <v>4875.2299999999996</v>
      </c>
      <c r="M5" s="74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33">
        <v>11</v>
      </c>
      <c r="X5" s="701"/>
    </row>
    <row r="6" spans="1:27">
      <c r="A6" s="217" t="s">
        <v>54</v>
      </c>
      <c r="B6" s="417" t="s">
        <v>55</v>
      </c>
      <c r="C6" s="17">
        <f>1313.2+274.84+490.2+222.25+28.08+44.45+49.2+229.99+140.4+128.4+61.8+490.2+896.4+459/2+252+1077.28+15.25+18.99*2+10.45+13.97+44.5+2.49+146.97+139+11.48+31.57+169.4+252.35+176.65+104.8+5.99+247.47+72.93+239.99+296.25+258.59+59+46.28+164.75+76.75</f>
        <v>8553.0499999999975</v>
      </c>
      <c r="D6" s="13">
        <f>C6+C7+C8</f>
        <v>14102.439999999999</v>
      </c>
      <c r="E6" s="13"/>
      <c r="F6" s="13">
        <f>E6+E7+E8</f>
        <v>0</v>
      </c>
      <c r="G6" s="9">
        <f>C6+E6</f>
        <v>8553.0499999999975</v>
      </c>
      <c r="H6" s="387">
        <f>G6+G7+G8</f>
        <v>14102.439999999999</v>
      </c>
      <c r="J6" s="351" t="s">
        <v>71</v>
      </c>
      <c r="K6" s="352">
        <v>65.180000000000007</v>
      </c>
      <c r="M6" s="40">
        <v>281</v>
      </c>
      <c r="N6" s="40">
        <f>M6</f>
        <v>281</v>
      </c>
      <c r="O6" s="40">
        <v>34.5</v>
      </c>
      <c r="P6" s="40"/>
      <c r="Q6" s="40"/>
      <c r="R6" s="40"/>
      <c r="S6" s="41"/>
      <c r="T6" s="41"/>
      <c r="U6" s="41"/>
      <c r="V6" s="41"/>
      <c r="W6" s="41"/>
      <c r="X6" s="218">
        <f>562.58+O6</f>
        <v>597.08000000000004</v>
      </c>
    </row>
    <row r="7" spans="1:27">
      <c r="A7" s="219" t="s">
        <v>56</v>
      </c>
      <c r="B7" s="418" t="s">
        <v>57</v>
      </c>
      <c r="C7" s="17">
        <v>350</v>
      </c>
      <c r="D7" s="13"/>
      <c r="E7" s="13"/>
      <c r="F7" s="13"/>
      <c r="G7" s="9">
        <f t="shared" ref="G7:G17" si="0">C7+E7</f>
        <v>350</v>
      </c>
      <c r="H7" s="387"/>
      <c r="J7" s="353" t="s">
        <v>74</v>
      </c>
      <c r="K7" s="354" t="s">
        <v>75</v>
      </c>
      <c r="M7" s="49">
        <v>181</v>
      </c>
      <c r="N7" s="50">
        <f>266.08+39.48</f>
        <v>305.56</v>
      </c>
      <c r="O7" s="50">
        <f>17.7+17.92</f>
        <v>35.620000000000005</v>
      </c>
      <c r="P7" s="50"/>
      <c r="Q7" s="50"/>
      <c r="R7" s="50"/>
      <c r="S7" s="51"/>
      <c r="T7" s="51"/>
      <c r="U7" s="51"/>
      <c r="V7" s="51"/>
      <c r="W7" s="51"/>
      <c r="X7" s="443">
        <f t="shared" ref="X7" si="1">M7+N7+O7+P7+Q7+R7+W7+S7+T7+U7+V7</f>
        <v>522.18000000000006</v>
      </c>
      <c r="Y7" s="120">
        <f>X6-X7</f>
        <v>74.899999999999977</v>
      </c>
      <c r="AA7" s="1"/>
    </row>
    <row r="8" spans="1:27">
      <c r="A8" s="220" t="s">
        <v>58</v>
      </c>
      <c r="B8" s="202" t="s">
        <v>59</v>
      </c>
      <c r="C8" s="334">
        <f>1197.14+2280+1326.95+373.7+21.6</f>
        <v>5199.3900000000003</v>
      </c>
      <c r="D8" s="14"/>
      <c r="E8" s="14"/>
      <c r="F8" s="14"/>
      <c r="G8" s="9">
        <f>C8+E8</f>
        <v>5199.3900000000003</v>
      </c>
      <c r="H8" s="388"/>
      <c r="J8" s="355" t="s">
        <v>78</v>
      </c>
      <c r="K8" s="356">
        <v>13</v>
      </c>
      <c r="X8" s="221"/>
      <c r="AA8" s="1"/>
    </row>
    <row r="9" spans="1:27">
      <c r="A9" s="217" t="s">
        <v>60</v>
      </c>
      <c r="B9" s="417" t="s">
        <v>61</v>
      </c>
      <c r="C9" s="257">
        <f>4175.19*1.42+((15*36+3000/20*3)-450)*1.42</f>
        <v>6695.5697999999993</v>
      </c>
      <c r="D9" s="141">
        <f>C9+C10+C11+C13+C12</f>
        <v>17638.325193085599</v>
      </c>
      <c r="E9" s="132"/>
      <c r="F9" s="6">
        <f>E9+E10+E11+E13+E12</f>
        <v>0</v>
      </c>
      <c r="G9" s="21">
        <f>C9+E9</f>
        <v>6695.5697999999993</v>
      </c>
      <c r="H9" s="389">
        <f>G9+G10+G11+G13+G12</f>
        <v>17638.325193085599</v>
      </c>
      <c r="J9" s="357" t="s">
        <v>81</v>
      </c>
      <c r="K9" s="358">
        <v>12</v>
      </c>
      <c r="X9" s="221"/>
    </row>
    <row r="10" spans="1:27">
      <c r="A10" s="219" t="s">
        <v>62</v>
      </c>
      <c r="B10" s="418" t="s">
        <v>63</v>
      </c>
      <c r="C10" s="126">
        <f>C9*0.2359</f>
        <v>1579.4849158199997</v>
      </c>
      <c r="D10" s="13"/>
      <c r="E10" s="13">
        <f>E9*0.2359</f>
        <v>0</v>
      </c>
      <c r="F10" s="83"/>
      <c r="G10" s="22">
        <f t="shared" si="0"/>
        <v>1579.4849158199997</v>
      </c>
      <c r="H10" s="388"/>
      <c r="X10" s="221"/>
    </row>
    <row r="11" spans="1:27">
      <c r="A11" s="219" t="s">
        <v>65</v>
      </c>
      <c r="B11" s="418" t="s">
        <v>66</v>
      </c>
      <c r="C11" s="126">
        <f>(C9+C10)*0.08</f>
        <v>662.00437726559994</v>
      </c>
      <c r="D11" s="13"/>
      <c r="E11" s="13">
        <f>(E9+E10)*0.08</f>
        <v>0</v>
      </c>
      <c r="F11" s="83"/>
      <c r="G11" s="22">
        <f t="shared" si="0"/>
        <v>662.00437726559994</v>
      </c>
      <c r="H11" s="388"/>
      <c r="J11" s="674" t="s">
        <v>85</v>
      </c>
      <c r="K11" s="675"/>
      <c r="X11" s="221"/>
    </row>
    <row r="12" spans="1:27">
      <c r="A12" s="222" t="s">
        <v>68</v>
      </c>
      <c r="B12" s="419" t="s">
        <v>21</v>
      </c>
      <c r="C12" s="127">
        <f>(C4)*0.07</f>
        <v>3701.2661000000003</v>
      </c>
      <c r="D12" s="133"/>
      <c r="E12" s="133">
        <f>(E13+E11+E10+E9)*0.07</f>
        <v>0</v>
      </c>
      <c r="F12" s="123"/>
      <c r="G12" s="22">
        <f t="shared" si="0"/>
        <v>3701.2661000000003</v>
      </c>
      <c r="H12" s="388"/>
      <c r="J12" s="359" t="s">
        <v>50</v>
      </c>
      <c r="K12" s="360">
        <v>5490</v>
      </c>
      <c r="X12" s="221"/>
    </row>
    <row r="13" spans="1:27">
      <c r="A13" s="219" t="s">
        <v>69</v>
      </c>
      <c r="B13" s="418" t="s">
        <v>70</v>
      </c>
      <c r="C13" s="130">
        <f>17*3*50+20*2*50+3*3*50</f>
        <v>5000</v>
      </c>
      <c r="D13" s="134"/>
      <c r="E13" s="134"/>
      <c r="F13" s="125"/>
      <c r="G13" s="23">
        <f t="shared" si="0"/>
        <v>5000</v>
      </c>
      <c r="H13" s="390"/>
      <c r="J13" s="361" t="s">
        <v>53</v>
      </c>
      <c r="K13" s="362">
        <f>G6+G7</f>
        <v>8903.0499999999975</v>
      </c>
      <c r="X13" s="221"/>
    </row>
    <row r="14" spans="1:27">
      <c r="A14" s="223" t="s">
        <v>72</v>
      </c>
      <c r="B14" s="417" t="s">
        <v>73</v>
      </c>
      <c r="C14" s="259">
        <f>54.4+2482.94+96.15-54.4+115+110</f>
        <v>2804.09</v>
      </c>
      <c r="D14" s="145">
        <f>C14+C17+C15+C16</f>
        <v>4846.74</v>
      </c>
      <c r="E14" s="13"/>
      <c r="F14" s="13">
        <f>E14+E17+E15</f>
        <v>0</v>
      </c>
      <c r="G14" s="9">
        <f t="shared" si="0"/>
        <v>2804.09</v>
      </c>
      <c r="H14" s="388">
        <f>G14+G17+G15+G16</f>
        <v>4846.74</v>
      </c>
      <c r="X14" s="221"/>
    </row>
    <row r="15" spans="1:27">
      <c r="A15" s="224" t="s">
        <v>76</v>
      </c>
      <c r="B15" s="418" t="s">
        <v>77</v>
      </c>
      <c r="C15" s="259">
        <f>455.1+118.87*2+19.98+15.98+134.27+154.56+293.81</f>
        <v>1311.44</v>
      </c>
      <c r="D15" s="145"/>
      <c r="E15" s="13"/>
      <c r="F15" s="13"/>
      <c r="G15" s="9">
        <f t="shared" si="0"/>
        <v>1311.44</v>
      </c>
      <c r="H15" s="388"/>
      <c r="J15" s="651" t="s">
        <v>89</v>
      </c>
      <c r="K15" s="652"/>
      <c r="X15" s="221"/>
    </row>
    <row r="16" spans="1:27">
      <c r="A16" s="224" t="s">
        <v>139</v>
      </c>
      <c r="B16" s="418" t="s">
        <v>140</v>
      </c>
      <c r="C16" s="126"/>
      <c r="D16" s="145"/>
      <c r="E16" s="13"/>
      <c r="F16" s="13"/>
      <c r="G16" s="9"/>
      <c r="H16" s="388"/>
      <c r="J16" s="359" t="s">
        <v>50</v>
      </c>
      <c r="K16" s="360">
        <v>13501.21</v>
      </c>
      <c r="X16" s="221"/>
    </row>
    <row r="17" spans="1:24">
      <c r="A17" s="219" t="s">
        <v>79</v>
      </c>
      <c r="B17" s="418" t="s">
        <v>80</v>
      </c>
      <c r="C17" s="17">
        <f>153.3+15+11.5+13.5+248.85+84+16.99+188.07</f>
        <v>731.21</v>
      </c>
      <c r="D17" s="13"/>
      <c r="E17" s="13"/>
      <c r="F17" s="13"/>
      <c r="G17" s="9">
        <f t="shared" si="0"/>
        <v>731.21</v>
      </c>
      <c r="H17" s="388"/>
      <c r="J17" s="363" t="s">
        <v>53</v>
      </c>
      <c r="K17" s="364">
        <f>G9+G10+G11+G13</f>
        <v>13937.059093085598</v>
      </c>
      <c r="X17" s="221"/>
    </row>
    <row r="18" spans="1:24">
      <c r="A18" s="391" t="s">
        <v>82</v>
      </c>
      <c r="B18" s="420" t="s">
        <v>83</v>
      </c>
      <c r="C18" s="345">
        <f>C4-C5</f>
        <v>16287.724806914397</v>
      </c>
      <c r="D18" s="346">
        <f>C18/C4</f>
        <v>0.30804073678571986</v>
      </c>
      <c r="E18" s="442">
        <f>E4-E5</f>
        <v>0</v>
      </c>
      <c r="F18" s="442" t="e">
        <f>E18/E4</f>
        <v>#DIV/0!</v>
      </c>
      <c r="G18" s="348">
        <f>G4-G5</f>
        <v>16287.724806914397</v>
      </c>
      <c r="H18" s="392">
        <f>G18/G4</f>
        <v>0.30804073678571986</v>
      </c>
      <c r="J18" s="375" t="s">
        <v>322</v>
      </c>
      <c r="K18" s="440">
        <f>K16/X6</f>
        <v>22.612062035238157</v>
      </c>
      <c r="X18" s="221"/>
    </row>
    <row r="19" spans="1:24">
      <c r="A19" s="422" t="s">
        <v>142</v>
      </c>
      <c r="B19" s="339"/>
      <c r="C19" s="340"/>
      <c r="D19" s="341"/>
      <c r="E19" s="339"/>
      <c r="F19" s="339"/>
      <c r="G19" s="343">
        <f>K4-36949.92</f>
        <v>11050.080000000002</v>
      </c>
      <c r="H19" s="394">
        <f>G19/K4</f>
        <v>0.23021000000000003</v>
      </c>
      <c r="J19" s="377" t="s">
        <v>141</v>
      </c>
      <c r="K19" s="470">
        <f>K17/X7</f>
        <v>26.690143423887541</v>
      </c>
      <c r="X19" s="221"/>
    </row>
    <row r="20" spans="1:24" ht="30" customHeight="1">
      <c r="A20" s="225"/>
      <c r="B20" s="98"/>
      <c r="C20" s="98"/>
      <c r="D20" s="98"/>
      <c r="E20" s="98"/>
      <c r="F20" s="98"/>
      <c r="H20" s="221"/>
      <c r="M20" s="644" t="s">
        <v>90</v>
      </c>
      <c r="N20" s="645"/>
      <c r="O20" s="645"/>
      <c r="P20" s="645"/>
      <c r="Q20" s="645"/>
      <c r="R20" s="645"/>
      <c r="S20" s="645"/>
      <c r="T20" s="645"/>
      <c r="U20" s="645"/>
      <c r="V20" s="645"/>
      <c r="W20" s="646"/>
      <c r="X20" s="324"/>
    </row>
    <row r="21" spans="1:24" ht="15.75" customHeight="1">
      <c r="A21" s="395" t="s">
        <v>86</v>
      </c>
      <c r="B21" s="412" t="s">
        <v>144</v>
      </c>
      <c r="C21" s="441" t="s">
        <v>323</v>
      </c>
      <c r="D21" s="101"/>
      <c r="E21" s="101"/>
      <c r="F21" s="101"/>
      <c r="H21" s="221"/>
      <c r="J21" s="373" t="s">
        <v>100</v>
      </c>
      <c r="K21" s="374"/>
      <c r="M21" s="28" t="s">
        <v>371</v>
      </c>
      <c r="N21" s="28" t="s">
        <v>372</v>
      </c>
      <c r="O21" s="28"/>
      <c r="P21" s="29"/>
      <c r="Q21" s="29"/>
      <c r="R21" s="29"/>
      <c r="S21" s="28"/>
      <c r="T21" s="28"/>
      <c r="U21" s="28"/>
      <c r="V21" s="28"/>
      <c r="W21" s="28"/>
      <c r="X21" s="684" t="s">
        <v>49</v>
      </c>
    </row>
    <row r="22" spans="1:24">
      <c r="A22" s="226" t="s">
        <v>88</v>
      </c>
      <c r="B22" s="413">
        <f>H6/G5</f>
        <v>0.38544415437937851</v>
      </c>
      <c r="C22" s="410">
        <f>5489.8/36949.92</f>
        <v>0.14857406998445466</v>
      </c>
      <c r="D22" s="103"/>
      <c r="E22" s="103"/>
      <c r="F22" s="103"/>
      <c r="H22" s="221"/>
      <c r="J22" s="367" t="s">
        <v>50</v>
      </c>
      <c r="K22" s="368">
        <f>X6/K6</f>
        <v>9.1604786744400126</v>
      </c>
      <c r="M22" s="66">
        <v>1</v>
      </c>
      <c r="N22" s="66">
        <v>2</v>
      </c>
      <c r="O22" s="66">
        <v>3</v>
      </c>
      <c r="P22" s="66">
        <v>4</v>
      </c>
      <c r="Q22" s="66">
        <v>5</v>
      </c>
      <c r="R22" s="66">
        <v>6</v>
      </c>
      <c r="S22" s="66">
        <v>7</v>
      </c>
      <c r="T22" s="66">
        <v>8</v>
      </c>
      <c r="U22" s="66">
        <v>9</v>
      </c>
      <c r="V22" s="66">
        <v>10</v>
      </c>
      <c r="W22" s="66">
        <v>11</v>
      </c>
      <c r="X22" s="685"/>
    </row>
    <row r="23" spans="1:24">
      <c r="A23" s="227" t="s">
        <v>89</v>
      </c>
      <c r="B23" s="413">
        <f>H9/G5</f>
        <v>0.48208603182976617</v>
      </c>
      <c r="C23" s="410">
        <f>13501.21/36949.92</f>
        <v>0.36539213075427496</v>
      </c>
      <c r="D23" s="103"/>
      <c r="E23" s="103"/>
      <c r="F23" s="103"/>
      <c r="H23" s="221"/>
      <c r="J23" s="369" t="s">
        <v>53</v>
      </c>
      <c r="K23" s="370">
        <f>X7/K6</f>
        <v>8.0113531758208048</v>
      </c>
      <c r="M23" s="69">
        <f>X23/2</f>
        <v>2440</v>
      </c>
      <c r="N23" s="69">
        <f>M23</f>
        <v>2440</v>
      </c>
      <c r="O23" s="69"/>
      <c r="P23" s="69"/>
      <c r="Q23" s="69"/>
      <c r="R23" s="69"/>
      <c r="S23" s="69"/>
      <c r="T23" s="69"/>
      <c r="U23" s="69"/>
      <c r="V23" s="69"/>
      <c r="W23" s="69"/>
      <c r="X23" s="326">
        <f>K27</f>
        <v>4880</v>
      </c>
    </row>
    <row r="24" spans="1:24">
      <c r="A24" s="228" t="s">
        <v>91</v>
      </c>
      <c r="B24" s="414">
        <f>H14/G5</f>
        <v>0.13246981379085529</v>
      </c>
      <c r="C24" s="411">
        <f>17958.91/36949.92</f>
        <v>0.48603379926127038</v>
      </c>
      <c r="D24" s="103"/>
      <c r="E24" s="103"/>
      <c r="F24" s="103"/>
      <c r="H24" s="221"/>
      <c r="J24" s="365" t="s">
        <v>146</v>
      </c>
      <c r="K24" s="366">
        <f>K23*K19</f>
        <v>213.82416528207423</v>
      </c>
      <c r="M24" s="71">
        <f>692.84+19.98+2498.94+96.15+134.27+115</f>
        <v>3557.1800000000003</v>
      </c>
      <c r="N24" s="72">
        <f>154.56+293.81</f>
        <v>448.37</v>
      </c>
      <c r="O24" s="72">
        <v>110</v>
      </c>
      <c r="P24" s="72"/>
      <c r="Q24" s="72"/>
      <c r="R24" s="72"/>
      <c r="S24" s="72"/>
      <c r="T24" s="72"/>
      <c r="U24" s="72"/>
      <c r="V24" s="72"/>
      <c r="W24" s="72"/>
      <c r="X24" s="398">
        <f t="shared" ref="X24" si="2">M24+N24+O24+P24+Q24+R24+W24+S24+T24+U24+V24</f>
        <v>4115.55</v>
      </c>
    </row>
    <row r="25" spans="1:24">
      <c r="A25" s="229"/>
      <c r="H25" s="221"/>
      <c r="X25" s="221"/>
    </row>
    <row r="26" spans="1:24">
      <c r="A26" s="229"/>
      <c r="H26" s="221"/>
      <c r="J26" s="371" t="s">
        <v>90</v>
      </c>
      <c r="K26" s="372"/>
      <c r="X26" s="221"/>
    </row>
    <row r="27" spans="1:24" ht="33" customHeight="1">
      <c r="A27" s="229"/>
      <c r="H27" s="221"/>
      <c r="J27" s="359" t="s">
        <v>50</v>
      </c>
      <c r="K27" s="360">
        <v>4880</v>
      </c>
      <c r="X27" s="221"/>
    </row>
    <row r="28" spans="1:24">
      <c r="A28" s="229"/>
      <c r="H28" s="221"/>
      <c r="J28" s="363" t="s">
        <v>53</v>
      </c>
      <c r="K28" s="364">
        <f>G14+G15</f>
        <v>4115.5300000000007</v>
      </c>
      <c r="X28" s="221"/>
    </row>
    <row r="29" spans="1:24">
      <c r="A29" s="229"/>
      <c r="H29" s="221"/>
      <c r="J29" s="365" t="s">
        <v>147</v>
      </c>
      <c r="K29" s="366">
        <f>K28/X7</f>
        <v>7.8814393504155662</v>
      </c>
      <c r="X29" s="221"/>
    </row>
    <row r="30" spans="1:24">
      <c r="A30" s="229"/>
      <c r="H30" s="221"/>
      <c r="X30" s="221"/>
    </row>
    <row r="31" spans="1:24">
      <c r="A31" s="229"/>
      <c r="H31" s="221"/>
      <c r="J31" s="189" t="s">
        <v>92</v>
      </c>
      <c r="K31" s="136"/>
      <c r="X31" s="221"/>
    </row>
    <row r="32" spans="1:24" ht="27.75">
      <c r="A32" s="229"/>
      <c r="H32" s="221"/>
      <c r="J32" s="10" t="s">
        <v>93</v>
      </c>
      <c r="K32" s="136"/>
      <c r="X32" s="221"/>
    </row>
    <row r="33" spans="1:24">
      <c r="A33" s="229"/>
      <c r="H33" s="221"/>
      <c r="X33" s="221"/>
    </row>
    <row r="34" spans="1:24">
      <c r="A34" s="229"/>
      <c r="H34" s="221"/>
      <c r="J34" s="673" t="s">
        <v>94</v>
      </c>
      <c r="K34" s="673"/>
      <c r="X34" s="221"/>
    </row>
    <row r="35" spans="1:24">
      <c r="A35" s="229"/>
      <c r="H35" s="221"/>
      <c r="J35" s="725">
        <v>45372</v>
      </c>
      <c r="K35" s="725"/>
      <c r="X35" s="221"/>
    </row>
    <row r="36" spans="1:24">
      <c r="A36" s="230"/>
      <c r="B36" s="231"/>
      <c r="C36" s="231"/>
      <c r="D36" s="231"/>
      <c r="E36" s="231"/>
      <c r="F36" s="231"/>
      <c r="G36" s="231"/>
      <c r="H36" s="232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2"/>
    </row>
    <row r="38" spans="1:24">
      <c r="I38" s="1"/>
    </row>
  </sheetData>
  <mergeCells count="15">
    <mergeCell ref="J35:K35"/>
    <mergeCell ref="J34:K34"/>
    <mergeCell ref="J15:K15"/>
    <mergeCell ref="B1:X1"/>
    <mergeCell ref="X4:X5"/>
    <mergeCell ref="M20:W20"/>
    <mergeCell ref="A2:H2"/>
    <mergeCell ref="J2:X2"/>
    <mergeCell ref="C3:D3"/>
    <mergeCell ref="E3:F3"/>
    <mergeCell ref="G3:H3"/>
    <mergeCell ref="J3:K3"/>
    <mergeCell ref="M3:W3"/>
    <mergeCell ref="J11:K11"/>
    <mergeCell ref="X21:X22"/>
  </mergeCells>
  <conditionalFormatting sqref="K13">
    <cfRule type="cellIs" dxfId="10" priority="6" operator="greaterThan">
      <formula>$K$12</formula>
    </cfRule>
  </conditionalFormatting>
  <conditionalFormatting sqref="K17">
    <cfRule type="cellIs" dxfId="9" priority="5" operator="greaterThan">
      <formula>$K$16</formula>
    </cfRule>
  </conditionalFormatting>
  <conditionalFormatting sqref="K19">
    <cfRule type="cellIs" dxfId="8" priority="4" operator="greaterThan">
      <formula>$K$18</formula>
    </cfRule>
  </conditionalFormatting>
  <conditionalFormatting sqref="K23">
    <cfRule type="cellIs" dxfId="7" priority="2" operator="greaterThan">
      <formula>$K$22</formula>
    </cfRule>
  </conditionalFormatting>
  <conditionalFormatting sqref="K28">
    <cfRule type="cellIs" dxfId="6" priority="1" operator="greaterThan">
      <formula>$K$27</formula>
    </cfRule>
  </conditionalFormatting>
  <conditionalFormatting sqref="X7">
    <cfRule type="cellIs" dxfId="5" priority="3" operator="greaterThan">
      <formula>$X$6</formula>
    </cfRule>
  </conditionalFormatting>
  <pageMargins left="0.7" right="0.7" top="0.75" bottom="0.75" header="0.3" footer="0.3"/>
  <pageSetup paperSize="9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E7CF-36C0-4EC7-9077-9DDFD1BD8BDB}">
  <sheetPr>
    <pageSetUpPr fitToPage="1"/>
  </sheetPr>
  <dimension ref="A1:AA37"/>
  <sheetViews>
    <sheetView workbookViewId="0">
      <selection activeCell="B24" sqref="B24"/>
    </sheetView>
  </sheetViews>
  <sheetFormatPr defaultColWidth="9.140625" defaultRowHeight="15" outlineLevelCol="1"/>
  <cols>
    <col min="1" max="1" width="36.42578125" bestFit="1" customWidth="1"/>
    <col min="2" max="2" width="28.42578125" customWidth="1"/>
    <col min="3" max="3" width="12.28515625" customWidth="1"/>
    <col min="4" max="4" width="10.71093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25.42578125" customWidth="1"/>
    <col min="11" max="11" width="18.140625" bestFit="1" customWidth="1"/>
    <col min="12" max="12" width="2.85546875" customWidth="1"/>
    <col min="13" max="15" width="10" bestFit="1" customWidth="1"/>
    <col min="16" max="16" width="10.7109375" customWidth="1"/>
    <col min="17" max="23" width="12.7109375" hidden="1" customWidth="1" outlineLevel="1"/>
    <col min="24" max="24" width="12.7109375" customWidth="1" collapsed="1"/>
    <col min="25" max="25" width="12.7109375" customWidth="1"/>
    <col min="26" max="26" width="10.5703125" customWidth="1"/>
  </cols>
  <sheetData>
    <row r="1" spans="1:26" ht="25.5" customHeight="1">
      <c r="A1" s="213" t="s">
        <v>373</v>
      </c>
      <c r="B1" s="736" t="s">
        <v>374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6"/>
      <c r="Q1" s="736"/>
      <c r="R1" s="736"/>
      <c r="S1" s="736"/>
      <c r="T1" s="736"/>
      <c r="U1" s="736"/>
      <c r="V1" s="736"/>
      <c r="W1" s="736"/>
      <c r="X1" s="737"/>
    </row>
    <row r="2" spans="1:26" ht="18.75">
      <c r="A2" s="655" t="s">
        <v>30</v>
      </c>
      <c r="B2" s="656"/>
      <c r="C2" s="656"/>
      <c r="D2" s="656"/>
      <c r="E2" s="656"/>
      <c r="F2" s="656"/>
      <c r="G2" s="656"/>
      <c r="H2" s="706"/>
      <c r="I2" s="7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707"/>
    </row>
    <row r="3" spans="1:26">
      <c r="A3" s="214"/>
      <c r="B3" s="200"/>
      <c r="C3" s="690">
        <v>45315</v>
      </c>
      <c r="D3" s="714"/>
      <c r="E3" s="690">
        <v>45346</v>
      </c>
      <c r="F3" s="714"/>
      <c r="G3" s="710" t="s">
        <v>36</v>
      </c>
      <c r="H3" s="711"/>
      <c r="J3" s="670" t="s">
        <v>138</v>
      </c>
      <c r="K3" s="671"/>
      <c r="L3" s="110"/>
      <c r="M3" s="738" t="s">
        <v>13</v>
      </c>
      <c r="N3" s="739"/>
      <c r="O3" s="739"/>
      <c r="P3" s="739"/>
      <c r="Q3" s="739"/>
      <c r="R3" s="739"/>
      <c r="S3" s="739"/>
      <c r="T3" s="739"/>
      <c r="U3" s="739"/>
      <c r="V3" s="739"/>
      <c r="W3" s="740"/>
      <c r="X3" s="215"/>
    </row>
    <row r="4" spans="1:26" ht="15.75" customHeight="1">
      <c r="A4" s="216" t="s">
        <v>40</v>
      </c>
      <c r="B4" s="5" t="s">
        <v>41</v>
      </c>
      <c r="C4" s="77">
        <f>K4/3*1</f>
        <v>16000</v>
      </c>
      <c r="D4">
        <f>H4</f>
        <v>207.60999999999999</v>
      </c>
      <c r="E4" s="77">
        <f>K4/3*2</f>
        <v>32000</v>
      </c>
      <c r="G4" s="142">
        <f>C4+E4+K5</f>
        <v>55924.07</v>
      </c>
      <c r="H4" s="385">
        <f>M7</f>
        <v>207.60999999999999</v>
      </c>
      <c r="J4" s="349" t="s">
        <v>64</v>
      </c>
      <c r="K4" s="350">
        <v>48000</v>
      </c>
      <c r="L4" s="110"/>
      <c r="M4" s="158" t="s">
        <v>375</v>
      </c>
      <c r="N4" s="28" t="s">
        <v>376</v>
      </c>
      <c r="O4" s="28" t="s">
        <v>377</v>
      </c>
      <c r="P4" s="29"/>
      <c r="Q4" s="29"/>
      <c r="R4" s="29"/>
      <c r="S4" s="29"/>
      <c r="T4" s="29"/>
      <c r="U4" s="29"/>
      <c r="V4" s="29"/>
      <c r="W4" s="204"/>
      <c r="X4" s="700" t="s">
        <v>49</v>
      </c>
      <c r="Z4" s="1"/>
    </row>
    <row r="5" spans="1:26">
      <c r="A5" s="216" t="s">
        <v>51</v>
      </c>
      <c r="B5" s="5" t="s">
        <v>52</v>
      </c>
      <c r="C5" s="161">
        <f>C6+C7+C8+C9+C10+C11+C13+C14+C17+C15+C12</f>
        <v>18017.010728428799</v>
      </c>
      <c r="D5" s="5"/>
      <c r="E5" s="322">
        <f>E6+E7+E8+E9+E10+E11+E13+E14+E17+E15+E12</f>
        <v>25111.841471471995</v>
      </c>
      <c r="F5" s="5"/>
      <c r="G5" s="143">
        <f>G6+G7+G8+G9+G10+G11+G13+G14+G17+G15+G12</f>
        <v>43128.852199900801</v>
      </c>
      <c r="H5" s="386"/>
      <c r="J5" s="399" t="s">
        <v>67</v>
      </c>
      <c r="K5" s="400">
        <v>7924.07</v>
      </c>
      <c r="M5" s="159">
        <v>1</v>
      </c>
      <c r="N5" s="74">
        <v>2</v>
      </c>
      <c r="O5" s="74">
        <v>3</v>
      </c>
      <c r="P5" s="74">
        <v>4</v>
      </c>
      <c r="Q5" s="74">
        <v>5</v>
      </c>
      <c r="R5" s="74">
        <v>6</v>
      </c>
      <c r="S5" s="33">
        <v>7</v>
      </c>
      <c r="T5" s="33">
        <v>8</v>
      </c>
      <c r="U5" s="33">
        <v>9</v>
      </c>
      <c r="V5" s="33">
        <v>10</v>
      </c>
      <c r="W5" s="212">
        <v>11</v>
      </c>
      <c r="X5" s="701"/>
    </row>
    <row r="6" spans="1:26">
      <c r="A6" s="217" t="s">
        <v>54</v>
      </c>
      <c r="B6" s="75" t="s">
        <v>55</v>
      </c>
      <c r="C6" s="20">
        <f>564.63+379.52+88.05+33.99+1962.66-646.02+325.43+189.56+1502.02+447.6+139.6+157.67+69.98+45.05+35.42+130.1+100</f>
        <v>5525.2600000000011</v>
      </c>
      <c r="D6" s="13">
        <f>C6+C7+C8</f>
        <v>5724.4600000000009</v>
      </c>
      <c r="E6" s="13">
        <f>23.98+147.12+468.65+388+493.07+119+208.65+113.71+132.88+113.74+142.95+165+11.6+79.28+212.31+41.45+160.3+37.25+109.5+20.75+202.3+62.9+809.87</f>
        <v>4264.26</v>
      </c>
      <c r="F6" s="13">
        <f>E6+E7+E8</f>
        <v>5545.67</v>
      </c>
      <c r="G6" s="9">
        <f>C6+E6</f>
        <v>9789.52</v>
      </c>
      <c r="H6" s="387">
        <f>G6+G7+G8</f>
        <v>11270.130000000001</v>
      </c>
      <c r="J6" s="351" t="s">
        <v>71</v>
      </c>
      <c r="K6" s="352">
        <f>61.4+4.8</f>
        <v>66.2</v>
      </c>
      <c r="M6" s="40">
        <v>214</v>
      </c>
      <c r="N6" s="40">
        <f>M6</f>
        <v>214</v>
      </c>
      <c r="O6" s="40">
        <f>M6</f>
        <v>214</v>
      </c>
      <c r="P6" s="40">
        <v>98.39</v>
      </c>
      <c r="Q6" s="40"/>
      <c r="R6" s="40"/>
      <c r="S6" s="41"/>
      <c r="T6" s="41"/>
      <c r="U6" s="41"/>
      <c r="V6" s="41"/>
      <c r="W6" s="40"/>
      <c r="X6" s="218">
        <f>642.66+P6</f>
        <v>741.05</v>
      </c>
    </row>
    <row r="7" spans="1:26">
      <c r="A7" s="219" t="s">
        <v>56</v>
      </c>
      <c r="B7" s="86" t="s">
        <v>57</v>
      </c>
      <c r="C7" s="20"/>
      <c r="D7" s="13"/>
      <c r="E7" s="145">
        <v>750</v>
      </c>
      <c r="F7" s="13"/>
      <c r="G7" s="9">
        <f t="shared" ref="G7:G15" si="0">C7+E7</f>
        <v>750</v>
      </c>
      <c r="H7" s="387"/>
      <c r="J7" s="353" t="s">
        <v>74</v>
      </c>
      <c r="K7" s="354" t="s">
        <v>75</v>
      </c>
      <c r="M7" s="49">
        <f>45.28+39+39.08+45.27+38.98</f>
        <v>207.60999999999999</v>
      </c>
      <c r="N7" s="50">
        <f>22.58+22.57+22.2+22.67+22.68+35.9+35.6+35.7+35.88+35.68</f>
        <v>291.45999999999998</v>
      </c>
      <c r="O7" s="50">
        <f>63.15+61.5+61.52+63.1+61.45</f>
        <v>310.72000000000003</v>
      </c>
      <c r="P7" s="468">
        <f>69.43+69.42+69.4+69.47+69.27+17.03+16.5-12.5-123.55</f>
        <v>244.46999999999997</v>
      </c>
      <c r="Q7" s="50"/>
      <c r="R7" s="50"/>
      <c r="S7" s="51"/>
      <c r="T7" s="51"/>
      <c r="U7" s="51"/>
      <c r="V7" s="51"/>
      <c r="W7" s="50"/>
      <c r="X7" s="471">
        <f>M7+N7+O7+P7</f>
        <v>1054.26</v>
      </c>
      <c r="Y7" s="120">
        <f>X6-X7</f>
        <v>-313.21000000000004</v>
      </c>
    </row>
    <row r="8" spans="1:26">
      <c r="A8" s="220" t="s">
        <v>58</v>
      </c>
      <c r="B8" s="76" t="s">
        <v>59</v>
      </c>
      <c r="C8" s="162">
        <f>131.6+67.6</f>
        <v>199.2</v>
      </c>
      <c r="D8" s="14"/>
      <c r="E8" s="14">
        <f>32.2+78+67.6+106.6+130.01+117</f>
        <v>531.41</v>
      </c>
      <c r="F8" s="14"/>
      <c r="G8" s="9">
        <f t="shared" si="0"/>
        <v>730.6099999999999</v>
      </c>
      <c r="H8" s="388"/>
      <c r="J8" s="355" t="s">
        <v>78</v>
      </c>
      <c r="K8" s="356">
        <v>13</v>
      </c>
      <c r="X8" s="221"/>
    </row>
    <row r="9" spans="1:26">
      <c r="A9" s="217" t="s">
        <v>60</v>
      </c>
      <c r="B9" s="75" t="s">
        <v>61</v>
      </c>
      <c r="C9" s="153">
        <f>((67.86*16+129.51*14+122.94*13)-C13)*1.42</f>
        <v>3616.9103999999998</v>
      </c>
      <c r="D9" s="141">
        <f>C9+C10+C11+C13+C12</f>
        <v>7897.7507284287994</v>
      </c>
      <c r="E9" s="141">
        <f>(((168.6-5-123.55)*16+(196-12.5-5+168.5)*14+333*13)-E13)*1.42</f>
        <v>7210.4759999999987</v>
      </c>
      <c r="F9" s="128">
        <f>E9+E10+E11+E13+E12</f>
        <v>16614.341471471998</v>
      </c>
      <c r="G9" s="21">
        <f t="shared" si="0"/>
        <v>10827.386399999999</v>
      </c>
      <c r="H9" s="389">
        <f>G9+G10+G11+G13+G12</f>
        <v>24512.092199900799</v>
      </c>
      <c r="J9" s="357" t="s">
        <v>81</v>
      </c>
      <c r="K9" s="358">
        <v>12</v>
      </c>
      <c r="X9" s="221"/>
    </row>
    <row r="10" spans="1:26">
      <c r="A10" s="219" t="s">
        <v>62</v>
      </c>
      <c r="B10" s="86" t="s">
        <v>63</v>
      </c>
      <c r="C10" s="126">
        <f>C9*0.2359</f>
        <v>853.22916335999992</v>
      </c>
      <c r="D10" s="126"/>
      <c r="E10" s="126">
        <f t="shared" ref="E10" si="1">E9*0.2359</f>
        <v>1700.9512883999996</v>
      </c>
      <c r="F10" s="83"/>
      <c r="G10" s="22">
        <f t="shared" si="0"/>
        <v>2554.1804517599994</v>
      </c>
      <c r="H10" s="388"/>
      <c r="X10" s="221"/>
    </row>
    <row r="11" spans="1:26">
      <c r="A11" s="219" t="s">
        <v>65</v>
      </c>
      <c r="B11" s="86" t="s">
        <v>66</v>
      </c>
      <c r="C11" s="126">
        <f>(C9+C10)*0.08</f>
        <v>357.61116506879995</v>
      </c>
      <c r="D11" s="13"/>
      <c r="E11" s="145">
        <f>(E9+E10)*0.08</f>
        <v>712.9141830719999</v>
      </c>
      <c r="F11" s="83"/>
      <c r="G11" s="22">
        <f t="shared" si="0"/>
        <v>1070.5253481407999</v>
      </c>
      <c r="H11" s="388"/>
      <c r="J11" s="674" t="s">
        <v>85</v>
      </c>
      <c r="K11" s="675"/>
      <c r="X11" s="221"/>
    </row>
    <row r="12" spans="1:26">
      <c r="A12" s="222" t="s">
        <v>68</v>
      </c>
      <c r="B12" s="92" t="s">
        <v>21</v>
      </c>
      <c r="C12" s="127">
        <f>(C4)*0.07</f>
        <v>1120</v>
      </c>
      <c r="D12" s="133"/>
      <c r="E12" s="147">
        <f>(E4)*0.07</f>
        <v>2240</v>
      </c>
      <c r="F12" s="123"/>
      <c r="G12" s="22">
        <f t="shared" si="0"/>
        <v>3360</v>
      </c>
      <c r="H12" s="388"/>
      <c r="J12" s="359" t="s">
        <v>50</v>
      </c>
      <c r="K12" s="360">
        <f>7923.12+1045.66</f>
        <v>8968.7800000000007</v>
      </c>
      <c r="X12" s="221"/>
    </row>
    <row r="13" spans="1:26">
      <c r="A13" s="219" t="s">
        <v>69</v>
      </c>
      <c r="B13" s="86" t="s">
        <v>70</v>
      </c>
      <c r="C13" s="130">
        <v>1950</v>
      </c>
      <c r="D13" s="134"/>
      <c r="E13" s="150">
        <f>20*50+22*50+17*3*50+100</f>
        <v>4750</v>
      </c>
      <c r="F13" s="125"/>
      <c r="G13" s="23">
        <f t="shared" si="0"/>
        <v>6700</v>
      </c>
      <c r="H13" s="390"/>
      <c r="J13" s="361" t="s">
        <v>53</v>
      </c>
      <c r="K13" s="362">
        <f>G6+G7</f>
        <v>10539.52</v>
      </c>
      <c r="X13" s="221"/>
    </row>
    <row r="14" spans="1:26">
      <c r="A14" s="223" t="s">
        <v>72</v>
      </c>
      <c r="B14" s="75" t="s">
        <v>73</v>
      </c>
      <c r="C14" s="126">
        <v>3167.07</v>
      </c>
      <c r="D14" s="145">
        <f>C14+C17+C15</f>
        <v>4394.8</v>
      </c>
      <c r="E14" s="13">
        <f>813.01+150.58+128.71</f>
        <v>1092.3</v>
      </c>
      <c r="F14" s="13">
        <f>E14+E17+E15</f>
        <v>2951.83</v>
      </c>
      <c r="G14" s="9">
        <f t="shared" si="0"/>
        <v>4259.37</v>
      </c>
      <c r="H14" s="388">
        <f>G14+G17+G15</f>
        <v>7346.63</v>
      </c>
      <c r="X14" s="221"/>
    </row>
    <row r="15" spans="1:26" ht="26.25" customHeight="1">
      <c r="A15" s="224" t="s">
        <v>76</v>
      </c>
      <c r="B15" s="86" t="s">
        <v>77</v>
      </c>
      <c r="C15" s="126">
        <f>499.1+473.97+64</f>
        <v>1037.0700000000002</v>
      </c>
      <c r="D15" s="13"/>
      <c r="E15" s="13">
        <f>49.91+797.31+597.96+128.71</f>
        <v>1573.8899999999999</v>
      </c>
      <c r="F15" s="13"/>
      <c r="G15" s="9">
        <f t="shared" si="0"/>
        <v>2610.96</v>
      </c>
      <c r="H15" s="388"/>
      <c r="J15" s="651" t="s">
        <v>89</v>
      </c>
      <c r="K15" s="652"/>
      <c r="X15" s="221"/>
    </row>
    <row r="16" spans="1:26">
      <c r="A16" s="224" t="s">
        <v>139</v>
      </c>
      <c r="B16" s="86" t="s">
        <v>140</v>
      </c>
      <c r="C16" s="126"/>
      <c r="D16" s="13"/>
      <c r="E16" s="13"/>
      <c r="F16" s="13"/>
      <c r="G16" s="9"/>
      <c r="H16" s="388"/>
      <c r="J16" s="359" t="s">
        <v>50</v>
      </c>
      <c r="K16" s="360">
        <f>14562.71+2270.5</f>
        <v>16833.21</v>
      </c>
      <c r="X16" s="221"/>
    </row>
    <row r="17" spans="1:27">
      <c r="A17" s="219" t="s">
        <v>79</v>
      </c>
      <c r="B17" s="86" t="s">
        <v>80</v>
      </c>
      <c r="C17" s="126">
        <f>140.96+14.1+16.77+7.5+11.33</f>
        <v>190.66000000000003</v>
      </c>
      <c r="D17" s="13"/>
      <c r="E17" s="13">
        <f>12.76+10.76+15.54+4.83+11.35+14.45+6.69+111.91+18+79.35</f>
        <v>285.64</v>
      </c>
      <c r="F17" s="13"/>
      <c r="G17" s="9">
        <f>C17+E17</f>
        <v>476.3</v>
      </c>
      <c r="H17" s="388"/>
      <c r="J17" s="363" t="s">
        <v>53</v>
      </c>
      <c r="K17" s="364">
        <f>H9-G12</f>
        <v>21152.092199900799</v>
      </c>
      <c r="X17" s="221"/>
    </row>
    <row r="18" spans="1:27">
      <c r="A18" s="391" t="s">
        <v>82</v>
      </c>
      <c r="B18" s="344" t="s">
        <v>83</v>
      </c>
      <c r="C18" s="345">
        <f>C4-C5</f>
        <v>-2017.0107284287988</v>
      </c>
      <c r="D18" s="405">
        <f>C18/C4</f>
        <v>-0.12606317052679991</v>
      </c>
      <c r="E18" s="345">
        <f>E4-E5</f>
        <v>6888.1585285280053</v>
      </c>
      <c r="F18" s="346">
        <f>E18/E4</f>
        <v>0.21525495401650016</v>
      </c>
      <c r="G18" s="348">
        <f>G4-G5</f>
        <v>12795.217800099199</v>
      </c>
      <c r="H18" s="392">
        <f>G18/G4</f>
        <v>0.22879625535300271</v>
      </c>
      <c r="J18" s="375" t="s">
        <v>322</v>
      </c>
      <c r="K18" s="440">
        <f>K16/X6</f>
        <v>22.715349841441199</v>
      </c>
      <c r="X18" s="221"/>
      <c r="Z18" s="1"/>
      <c r="AA18" s="179"/>
    </row>
    <row r="19" spans="1:27">
      <c r="A19" s="393" t="s">
        <v>142</v>
      </c>
      <c r="B19" s="339" t="s">
        <v>143</v>
      </c>
      <c r="C19" s="339"/>
      <c r="D19" s="339"/>
      <c r="E19" s="339"/>
      <c r="F19" s="339"/>
      <c r="G19" s="433">
        <f>K4+K5-43000.85</f>
        <v>12923.220000000001</v>
      </c>
      <c r="H19" s="447">
        <f>(K4-36084.86)/K4</f>
        <v>0.24823208333333333</v>
      </c>
      <c r="J19" s="377" t="s">
        <v>141</v>
      </c>
      <c r="K19" s="470">
        <f>K17/X7</f>
        <v>20.063449433631931</v>
      </c>
      <c r="M19" s="738" t="s">
        <v>90</v>
      </c>
      <c r="N19" s="739"/>
      <c r="O19" s="739"/>
      <c r="P19" s="739"/>
      <c r="Q19" s="739"/>
      <c r="R19" s="739"/>
      <c r="S19" s="739"/>
      <c r="T19" s="739"/>
      <c r="U19" s="739"/>
      <c r="V19" s="739"/>
      <c r="W19" s="740"/>
      <c r="X19" s="215"/>
    </row>
    <row r="20" spans="1:27" ht="15.75" customHeight="1">
      <c r="A20" s="229"/>
      <c r="D20" s="101"/>
      <c r="E20" s="101"/>
      <c r="F20" s="101"/>
      <c r="H20" s="221"/>
      <c r="M20" s="158" t="s">
        <v>375</v>
      </c>
      <c r="N20" s="28" t="s">
        <v>376</v>
      </c>
      <c r="O20" s="28" t="s">
        <v>377</v>
      </c>
      <c r="P20" s="29"/>
      <c r="Q20" s="29"/>
      <c r="R20" s="29"/>
      <c r="S20" s="28"/>
      <c r="T20" s="28"/>
      <c r="U20" s="28"/>
      <c r="V20" s="28"/>
      <c r="W20" s="204"/>
      <c r="X20" s="700" t="s">
        <v>49</v>
      </c>
    </row>
    <row r="21" spans="1:27">
      <c r="A21" s="395" t="s">
        <v>86</v>
      </c>
      <c r="B21" s="382" t="s">
        <v>378</v>
      </c>
      <c r="C21" s="446" t="s">
        <v>145</v>
      </c>
      <c r="D21" s="103"/>
      <c r="E21" s="103"/>
      <c r="F21" s="103"/>
      <c r="H21" s="221"/>
      <c r="J21" s="373" t="s">
        <v>100</v>
      </c>
      <c r="K21" s="374"/>
      <c r="M21" s="205">
        <v>1</v>
      </c>
      <c r="N21" s="66">
        <v>2</v>
      </c>
      <c r="O21" s="66">
        <v>3</v>
      </c>
      <c r="P21" s="66">
        <v>4</v>
      </c>
      <c r="Q21" s="66">
        <v>5</v>
      </c>
      <c r="R21" s="66">
        <v>6</v>
      </c>
      <c r="S21" s="66">
        <v>7</v>
      </c>
      <c r="T21" s="66">
        <v>8</v>
      </c>
      <c r="U21" s="66">
        <v>9</v>
      </c>
      <c r="V21" s="66">
        <v>10</v>
      </c>
      <c r="W21" s="206">
        <v>11</v>
      </c>
      <c r="X21" s="701"/>
    </row>
    <row r="22" spans="1:27">
      <c r="A22" s="226" t="s">
        <v>88</v>
      </c>
      <c r="B22" s="410">
        <f>H6/G5</f>
        <v>0.26131300568267668</v>
      </c>
      <c r="C22" s="415">
        <f>8968.66/43000.85</f>
        <v>0.20856936548928684</v>
      </c>
      <c r="D22" s="103"/>
      <c r="E22" s="103"/>
      <c r="F22" s="103"/>
      <c r="H22" s="221"/>
      <c r="J22" s="367" t="s">
        <v>50</v>
      </c>
      <c r="K22" s="368">
        <f>X6/K6</f>
        <v>11.194108761329304</v>
      </c>
      <c r="M22" s="207">
        <f>X22/3</f>
        <v>1333.3333333333333</v>
      </c>
      <c r="N22" s="69">
        <f>M22</f>
        <v>1333.3333333333333</v>
      </c>
      <c r="O22" s="69">
        <f>M22</f>
        <v>1333.3333333333333</v>
      </c>
      <c r="P22" s="69"/>
      <c r="Q22" s="69"/>
      <c r="R22" s="69"/>
      <c r="S22" s="69"/>
      <c r="T22" s="69"/>
      <c r="U22" s="69"/>
      <c r="V22" s="69"/>
      <c r="W22" s="208"/>
      <c r="X22" s="218">
        <f>K27</f>
        <v>4000</v>
      </c>
    </row>
    <row r="23" spans="1:27">
      <c r="A23" s="227" t="s">
        <v>89</v>
      </c>
      <c r="B23" s="410">
        <f>H9/G5</f>
        <v>0.56834557261779339</v>
      </c>
      <c r="C23" s="415">
        <f>16833.5/43000.85</f>
        <v>0.39146900584523331</v>
      </c>
      <c r="D23" s="103"/>
      <c r="E23" s="103"/>
      <c r="F23" s="103"/>
      <c r="H23" s="221"/>
      <c r="J23" s="369" t="s">
        <v>53</v>
      </c>
      <c r="K23" s="370">
        <f>X7/K6</f>
        <v>15.925377643504531</v>
      </c>
      <c r="M23" s="209">
        <f>G14+G15</f>
        <v>6870.33</v>
      </c>
      <c r="N23" s="210"/>
      <c r="O23" s="210">
        <f>813.01+150.58+128.71</f>
        <v>1092.3</v>
      </c>
      <c r="P23" s="210">
        <f>597.96+128.71</f>
        <v>726.67000000000007</v>
      </c>
      <c r="Q23" s="210"/>
      <c r="R23" s="210"/>
      <c r="S23" s="210"/>
      <c r="T23" s="210"/>
      <c r="U23" s="210"/>
      <c r="V23" s="210"/>
      <c r="W23" s="211"/>
      <c r="X23" s="323">
        <f>M23</f>
        <v>6870.33</v>
      </c>
    </row>
    <row r="24" spans="1:27">
      <c r="A24" s="228" t="s">
        <v>91</v>
      </c>
      <c r="B24" s="411">
        <f>H14/G5</f>
        <v>0.1703414216995299</v>
      </c>
      <c r="C24" s="416">
        <f>17118.18/43000.85</f>
        <v>0.39808934009444003</v>
      </c>
      <c r="H24" s="221"/>
      <c r="J24" s="365" t="s">
        <v>146</v>
      </c>
      <c r="K24" s="366">
        <f>K23*K19</f>
        <v>319.51800906194558</v>
      </c>
      <c r="X24" s="221"/>
    </row>
    <row r="25" spans="1:27">
      <c r="A25" s="229"/>
      <c r="H25" s="221"/>
      <c r="X25" s="221"/>
    </row>
    <row r="26" spans="1:27" ht="27.75" customHeight="1">
      <c r="A26" s="229"/>
      <c r="H26" s="221"/>
      <c r="J26" s="371" t="s">
        <v>90</v>
      </c>
      <c r="K26" s="372"/>
      <c r="X26" s="221"/>
    </row>
    <row r="27" spans="1:27" ht="27.75" customHeight="1">
      <c r="A27" s="229"/>
      <c r="H27" s="221"/>
      <c r="J27" s="359" t="s">
        <v>50</v>
      </c>
      <c r="K27" s="360">
        <v>4000</v>
      </c>
      <c r="X27" s="221"/>
    </row>
    <row r="28" spans="1:27">
      <c r="A28" s="229"/>
      <c r="H28" s="221"/>
      <c r="J28" s="363" t="s">
        <v>53</v>
      </c>
      <c r="K28" s="434">
        <f>X23</f>
        <v>6870.33</v>
      </c>
      <c r="X28" s="221"/>
    </row>
    <row r="29" spans="1:27">
      <c r="A29" s="229"/>
      <c r="H29" s="221"/>
      <c r="J29" s="365" t="s">
        <v>147</v>
      </c>
      <c r="K29" s="366">
        <f>K28/X7</f>
        <v>6.5167321154174491</v>
      </c>
      <c r="X29" s="221"/>
    </row>
    <row r="30" spans="1:27">
      <c r="A30" s="229"/>
      <c r="H30" s="221"/>
      <c r="X30" s="221"/>
    </row>
    <row r="31" spans="1:27">
      <c r="A31" s="229"/>
      <c r="H31" s="221"/>
      <c r="J31" s="189" t="s">
        <v>92</v>
      </c>
      <c r="K31" s="136"/>
      <c r="X31" s="221"/>
    </row>
    <row r="32" spans="1:27" ht="27.75">
      <c r="A32" s="229"/>
      <c r="H32" s="221"/>
      <c r="J32" s="10" t="s">
        <v>93</v>
      </c>
      <c r="K32" s="136"/>
      <c r="X32" s="221"/>
    </row>
    <row r="33" spans="1:24">
      <c r="A33" s="229"/>
      <c r="H33" s="221"/>
      <c r="X33" s="221"/>
    </row>
    <row r="34" spans="1:24">
      <c r="A34" s="229"/>
      <c r="H34" s="221"/>
      <c r="J34" s="673" t="s">
        <v>94</v>
      </c>
      <c r="K34" s="673"/>
      <c r="X34" s="221"/>
    </row>
    <row r="35" spans="1:24">
      <c r="A35" s="229"/>
      <c r="H35" s="221"/>
      <c r="J35" s="725">
        <v>45359</v>
      </c>
      <c r="K35" s="725"/>
      <c r="X35" s="221"/>
    </row>
    <row r="36" spans="1:24">
      <c r="A36" s="230"/>
      <c r="B36" s="231"/>
      <c r="C36" s="231"/>
      <c r="D36" s="231"/>
      <c r="E36" s="231"/>
      <c r="F36" s="231"/>
      <c r="G36" s="231"/>
      <c r="H36" s="232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2"/>
    </row>
    <row r="37" spans="1:24">
      <c r="I37" s="1"/>
    </row>
  </sheetData>
  <mergeCells count="15">
    <mergeCell ref="J15:K15"/>
    <mergeCell ref="J35:K35"/>
    <mergeCell ref="J34:K34"/>
    <mergeCell ref="X20:X21"/>
    <mergeCell ref="B1:X1"/>
    <mergeCell ref="X4:X5"/>
    <mergeCell ref="M19:W19"/>
    <mergeCell ref="A2:H2"/>
    <mergeCell ref="J2:X2"/>
    <mergeCell ref="C3:D3"/>
    <mergeCell ref="E3:F3"/>
    <mergeCell ref="G3:H3"/>
    <mergeCell ref="J3:K3"/>
    <mergeCell ref="M3:W3"/>
    <mergeCell ref="J11:K11"/>
  </mergeCells>
  <conditionalFormatting sqref="K13">
    <cfRule type="cellIs" dxfId="4" priority="5" operator="greaterThan">
      <formula>$K$12</formula>
    </cfRule>
  </conditionalFormatting>
  <conditionalFormatting sqref="K17">
    <cfRule type="cellIs" dxfId="3" priority="4" operator="greaterThan">
      <formula>$K$16</formula>
    </cfRule>
  </conditionalFormatting>
  <conditionalFormatting sqref="K19">
    <cfRule type="cellIs" dxfId="2" priority="3" operator="greaterThan">
      <formula>$K$18</formula>
    </cfRule>
  </conditionalFormatting>
  <conditionalFormatting sqref="K23">
    <cfRule type="cellIs" dxfId="1" priority="2" operator="greaterThan">
      <formula>$K$22</formula>
    </cfRule>
  </conditionalFormatting>
  <conditionalFormatting sqref="X7">
    <cfRule type="cellIs" dxfId="0" priority="1" operator="greaterThan">
      <formula>$X$6</formula>
    </cfRule>
  </conditionalFormatting>
  <pageMargins left="0.7" right="0.7" top="0.75" bottom="0.75" header="0.3" footer="0.3"/>
  <pageSetup paperSize="9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A9EF-851A-4F23-8996-6929923E8E24}">
  <sheetPr>
    <pageSetUpPr fitToPage="1"/>
  </sheetPr>
  <dimension ref="A1:AA42"/>
  <sheetViews>
    <sheetView workbookViewId="0">
      <selection activeCell="B25" sqref="B25"/>
    </sheetView>
  </sheetViews>
  <sheetFormatPr defaultRowHeight="15" outlineLevelCol="1"/>
  <cols>
    <col min="1" max="1" width="31.85546875" customWidth="1"/>
    <col min="2" max="2" width="25.7109375" customWidth="1"/>
    <col min="3" max="3" width="12.42578125" customWidth="1"/>
    <col min="4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" customWidth="1"/>
    <col min="10" max="10" width="25.28515625" customWidth="1"/>
    <col min="11" max="11" width="18.140625" bestFit="1" customWidth="1"/>
    <col min="12" max="12" width="2.85546875" customWidth="1"/>
    <col min="13" max="13" width="20.7109375" hidden="1" customWidth="1" outlineLevel="1"/>
    <col min="14" max="14" width="13.140625" customWidth="1" collapsed="1"/>
    <col min="15" max="17" width="10.7109375" hidden="1" customWidth="1" outlineLevel="1"/>
    <col min="18" max="23" width="12.7109375" hidden="1" customWidth="1" outlineLevel="1"/>
    <col min="24" max="24" width="3.5703125" hidden="1" customWidth="1" outlineLevel="1"/>
    <col min="25" max="25" width="14.140625" customWidth="1" collapsed="1"/>
    <col min="26" max="26" width="12.7109375" customWidth="1"/>
  </cols>
  <sheetData>
    <row r="1" spans="1:27" ht="25.5" customHeight="1">
      <c r="A1" s="187" t="s">
        <v>379</v>
      </c>
      <c r="B1" s="741" t="s">
        <v>380</v>
      </c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1"/>
      <c r="Q1" s="741"/>
      <c r="R1" s="741"/>
      <c r="S1" s="741"/>
      <c r="T1" s="741"/>
      <c r="U1" s="741"/>
      <c r="V1" s="741"/>
      <c r="W1" s="741"/>
      <c r="X1" s="741"/>
      <c r="Y1" s="741"/>
    </row>
    <row r="2" spans="1:27" ht="18.75">
      <c r="A2" s="681" t="s">
        <v>30</v>
      </c>
      <c r="B2" s="636"/>
      <c r="C2" s="636"/>
      <c r="D2" s="636"/>
      <c r="E2" s="636"/>
      <c r="F2" s="636"/>
      <c r="G2" s="636"/>
      <c r="H2" s="636"/>
      <c r="I2" s="742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707"/>
    </row>
    <row r="3" spans="1:27" ht="17.25" customHeight="1">
      <c r="A3" s="229"/>
      <c r="C3" s="640" t="s">
        <v>32</v>
      </c>
      <c r="D3" s="641"/>
      <c r="E3" s="640" t="s">
        <v>33</v>
      </c>
      <c r="F3" s="641"/>
      <c r="G3" s="698" t="s">
        <v>36</v>
      </c>
      <c r="H3" s="743"/>
      <c r="I3" s="424"/>
      <c r="J3" s="670" t="s">
        <v>138</v>
      </c>
      <c r="K3" s="671"/>
      <c r="L3" s="110"/>
      <c r="M3" s="24" t="s">
        <v>37</v>
      </c>
      <c r="N3" s="631" t="s">
        <v>13</v>
      </c>
      <c r="O3" s="632"/>
      <c r="P3" s="632"/>
      <c r="Q3" s="632"/>
      <c r="R3" s="632"/>
      <c r="S3" s="632"/>
      <c r="T3" s="632"/>
      <c r="U3" s="632"/>
      <c r="V3" s="632"/>
      <c r="W3" s="632"/>
      <c r="X3" s="633"/>
      <c r="Y3" s="324"/>
    </row>
    <row r="4" spans="1:27" ht="16.5" customHeight="1">
      <c r="A4" s="216" t="s">
        <v>40</v>
      </c>
      <c r="B4" s="201" t="s">
        <v>41</v>
      </c>
      <c r="C4" s="77">
        <f>K4+K5</f>
        <v>13377.009999999998</v>
      </c>
      <c r="D4" s="120">
        <f>N7+O7+P7</f>
        <v>62.5</v>
      </c>
      <c r="E4" s="77"/>
      <c r="F4" s="11"/>
      <c r="G4" s="135">
        <f>C4</f>
        <v>13377.009999999998</v>
      </c>
      <c r="H4" s="430">
        <f>D4+F4</f>
        <v>62.5</v>
      </c>
      <c r="I4" s="424"/>
      <c r="J4" s="349" t="s">
        <v>64</v>
      </c>
      <c r="K4" s="350">
        <v>14988.39</v>
      </c>
      <c r="L4" s="110"/>
      <c r="M4" s="27" t="s">
        <v>42</v>
      </c>
      <c r="N4" s="28"/>
      <c r="O4" s="29"/>
      <c r="P4" s="28"/>
      <c r="Q4" s="29"/>
      <c r="R4" s="29"/>
      <c r="S4" s="29"/>
      <c r="T4" s="29"/>
      <c r="U4" s="29"/>
      <c r="V4" s="29"/>
      <c r="W4" s="29"/>
      <c r="X4" s="29"/>
      <c r="Y4" s="700" t="s">
        <v>49</v>
      </c>
    </row>
    <row r="5" spans="1:27">
      <c r="A5" s="216" t="s">
        <v>51</v>
      </c>
      <c r="B5" s="201" t="s">
        <v>52</v>
      </c>
      <c r="C5" s="161">
        <f>C6+C7+C8+C9+C10+C11+C13+C14+C17+C15+C12+C16</f>
        <v>7143.7829307999991</v>
      </c>
      <c r="D5" s="5"/>
      <c r="E5" s="161">
        <f>E6+E7+E8+E9+E10+E11+E13+E14+E17+E15+E12</f>
        <v>0</v>
      </c>
      <c r="F5" s="12"/>
      <c r="G5" s="8">
        <f>G6+G7+G8+G9+G10+G11+G13+G14+G17+G15+G12+G18+G16</f>
        <v>7143.7829307999991</v>
      </c>
      <c r="H5" s="425"/>
      <c r="I5" s="229"/>
      <c r="J5" s="399" t="s">
        <v>67</v>
      </c>
      <c r="K5" s="400">
        <v>-1611.38</v>
      </c>
      <c r="M5" s="32"/>
      <c r="N5" s="74">
        <v>1</v>
      </c>
      <c r="O5" s="74">
        <v>2</v>
      </c>
      <c r="P5" s="74">
        <v>3</v>
      </c>
      <c r="Q5" s="74">
        <v>4</v>
      </c>
      <c r="R5" s="74">
        <v>5</v>
      </c>
      <c r="S5" s="74">
        <v>6</v>
      </c>
      <c r="T5" s="33">
        <v>7</v>
      </c>
      <c r="U5" s="33">
        <v>8</v>
      </c>
      <c r="V5" s="33">
        <v>9</v>
      </c>
      <c r="W5" s="33">
        <v>10</v>
      </c>
      <c r="X5" s="33">
        <v>11</v>
      </c>
      <c r="Y5" s="701"/>
    </row>
    <row r="6" spans="1:27">
      <c r="A6" s="217" t="s">
        <v>54</v>
      </c>
      <c r="B6" s="417" t="s">
        <v>55</v>
      </c>
      <c r="C6" s="126">
        <f>253.82+584+9.88+4.99+32.96+23.47+4.55</f>
        <v>913.67</v>
      </c>
      <c r="D6" s="145">
        <f>C6+C7+C8</f>
        <v>913.67</v>
      </c>
      <c r="E6" s="133"/>
      <c r="F6" s="13">
        <f>E6+E7+E8</f>
        <v>0</v>
      </c>
      <c r="G6" s="9">
        <f>C6+E6</f>
        <v>913.67</v>
      </c>
      <c r="H6" s="426">
        <f>G6+G7+G8</f>
        <v>913.67</v>
      </c>
      <c r="I6" s="229"/>
      <c r="J6" s="351" t="s">
        <v>71</v>
      </c>
      <c r="K6" s="352">
        <v>25</v>
      </c>
      <c r="M6" s="39"/>
      <c r="N6" s="40">
        <f>Y6</f>
        <v>97.25</v>
      </c>
      <c r="O6" s="40"/>
      <c r="P6" s="40"/>
      <c r="Q6" s="40"/>
      <c r="R6" s="40"/>
      <c r="S6" s="40"/>
      <c r="T6" s="41"/>
      <c r="U6" s="41"/>
      <c r="V6" s="41"/>
      <c r="W6" s="41"/>
      <c r="X6" s="41"/>
      <c r="Y6" s="218">
        <v>97.25</v>
      </c>
    </row>
    <row r="7" spans="1:27">
      <c r="A7" s="219" t="s">
        <v>56</v>
      </c>
      <c r="B7" s="418" t="s">
        <v>57</v>
      </c>
      <c r="C7" s="126"/>
      <c r="D7" s="13"/>
      <c r="E7" s="133"/>
      <c r="F7" s="13"/>
      <c r="G7" s="9">
        <f t="shared" ref="G7:G17" si="0">C7+E7</f>
        <v>0</v>
      </c>
      <c r="H7" s="426"/>
      <c r="I7" s="229"/>
      <c r="J7" s="353" t="s">
        <v>74</v>
      </c>
      <c r="K7" s="354" t="s">
        <v>75</v>
      </c>
      <c r="M7" s="48"/>
      <c r="N7" s="49">
        <v>62.5</v>
      </c>
      <c r="O7" s="50"/>
      <c r="P7" s="50"/>
      <c r="Q7" s="50"/>
      <c r="R7" s="50"/>
      <c r="S7" s="50"/>
      <c r="T7" s="51"/>
      <c r="U7" s="51"/>
      <c r="V7" s="51"/>
      <c r="W7" s="51"/>
      <c r="X7" s="51"/>
      <c r="Y7" s="325">
        <f>N7+O7+P7+Q7+R7+S7+X7+T7+U7+V7+W7</f>
        <v>62.5</v>
      </c>
      <c r="Z7" s="1">
        <f>Y6-Y7</f>
        <v>34.75</v>
      </c>
      <c r="AA7" s="1"/>
    </row>
    <row r="8" spans="1:27">
      <c r="A8" s="220" t="s">
        <v>58</v>
      </c>
      <c r="B8" s="202" t="s">
        <v>59</v>
      </c>
      <c r="C8" s="144"/>
      <c r="D8" s="14"/>
      <c r="E8" s="165"/>
      <c r="F8" s="14"/>
      <c r="G8" s="9">
        <f t="shared" si="0"/>
        <v>0</v>
      </c>
      <c r="H8" s="1"/>
      <c r="I8" s="229"/>
      <c r="J8" s="355" t="s">
        <v>78</v>
      </c>
      <c r="K8" s="356">
        <v>13</v>
      </c>
      <c r="Y8" s="221"/>
      <c r="Z8" s="1"/>
      <c r="AA8" s="1"/>
    </row>
    <row r="9" spans="1:27">
      <c r="A9" s="217" t="s">
        <v>60</v>
      </c>
      <c r="B9" s="417" t="s">
        <v>61</v>
      </c>
      <c r="C9" s="129">
        <f>((12.5*16+25*14+25*13)-300+360*2)*1.42</f>
        <v>1838.8999999999999</v>
      </c>
      <c r="D9" s="141">
        <f>C9+C10+C11+C13+C12</f>
        <v>4050.9029307999995</v>
      </c>
      <c r="E9" s="148"/>
      <c r="F9" s="128">
        <f>E9+E10+E11+E13+E12</f>
        <v>0</v>
      </c>
      <c r="G9" s="21">
        <f t="shared" si="0"/>
        <v>1838.8999999999999</v>
      </c>
      <c r="H9" s="427">
        <f>G9+G10+G11+G13+G12</f>
        <v>4050.9029307999995</v>
      </c>
      <c r="I9" s="229"/>
      <c r="J9" s="357" t="s">
        <v>81</v>
      </c>
      <c r="K9" s="358">
        <v>12</v>
      </c>
      <c r="Y9" s="221"/>
    </row>
    <row r="10" spans="1:27">
      <c r="A10" s="219" t="s">
        <v>62</v>
      </c>
      <c r="B10" s="418" t="s">
        <v>63</v>
      </c>
      <c r="C10" s="126">
        <f>C9*0.2359</f>
        <v>433.79650999999996</v>
      </c>
      <c r="D10" s="13"/>
      <c r="E10" s="147">
        <f>E9*0.2359</f>
        <v>0</v>
      </c>
      <c r="F10" s="83"/>
      <c r="G10" s="22">
        <f t="shared" si="0"/>
        <v>433.79650999999996</v>
      </c>
      <c r="H10" s="1"/>
      <c r="I10" s="229"/>
      <c r="Y10" s="221"/>
    </row>
    <row r="11" spans="1:27">
      <c r="A11" s="219" t="s">
        <v>65</v>
      </c>
      <c r="B11" s="418" t="s">
        <v>66</v>
      </c>
      <c r="C11" s="126">
        <f>(C9+C10)*0.08</f>
        <v>181.81572079999998</v>
      </c>
      <c r="D11" s="13"/>
      <c r="E11" s="147">
        <f>(E9+E10)*0.08</f>
        <v>0</v>
      </c>
      <c r="F11" s="83"/>
      <c r="G11" s="22">
        <f t="shared" si="0"/>
        <v>181.81572079999998</v>
      </c>
      <c r="H11" s="1"/>
      <c r="I11" s="229"/>
      <c r="J11" s="674" t="s">
        <v>85</v>
      </c>
      <c r="K11" s="675"/>
      <c r="Y11" s="221"/>
    </row>
    <row r="12" spans="1:27">
      <c r="A12" s="222" t="s">
        <v>68</v>
      </c>
      <c r="B12" s="419" t="s">
        <v>21</v>
      </c>
      <c r="C12" s="127">
        <f>(C4)*0.07</f>
        <v>936.39069999999992</v>
      </c>
      <c r="D12" s="133"/>
      <c r="E12" s="147">
        <f>(E13+E11+E10+E9)*0.07</f>
        <v>0</v>
      </c>
      <c r="F12" s="123"/>
      <c r="G12" s="22">
        <f t="shared" si="0"/>
        <v>936.39069999999992</v>
      </c>
      <c r="H12" s="1"/>
      <c r="I12" s="229"/>
      <c r="J12" s="359" t="s">
        <v>50</v>
      </c>
      <c r="K12" s="360">
        <v>390</v>
      </c>
      <c r="Y12" s="221"/>
    </row>
    <row r="13" spans="1:27">
      <c r="A13" s="219" t="s">
        <v>69</v>
      </c>
      <c r="B13" s="418" t="s">
        <v>70</v>
      </c>
      <c r="C13" s="130">
        <f>60*5+360</f>
        <v>660</v>
      </c>
      <c r="D13" s="134"/>
      <c r="E13" s="164"/>
      <c r="F13" s="125"/>
      <c r="G13" s="23">
        <f t="shared" si="0"/>
        <v>660</v>
      </c>
      <c r="H13" s="428"/>
      <c r="I13" s="229"/>
      <c r="J13" s="361" t="s">
        <v>53</v>
      </c>
      <c r="K13" s="403">
        <f>H6</f>
        <v>913.67</v>
      </c>
      <c r="Y13" s="221"/>
    </row>
    <row r="14" spans="1:27">
      <c r="A14" s="223" t="s">
        <v>72</v>
      </c>
      <c r="B14" s="417" t="s">
        <v>73</v>
      </c>
      <c r="C14" s="17"/>
      <c r="D14" s="145">
        <f>C14+C17+C15+C16</f>
        <v>2179.21</v>
      </c>
      <c r="E14" s="147"/>
      <c r="F14" s="145">
        <f>E14+E17+E15</f>
        <v>0</v>
      </c>
      <c r="G14" s="9">
        <f t="shared" si="0"/>
        <v>0</v>
      </c>
      <c r="H14" s="1">
        <f>G14+G17+G15+G18+G16</f>
        <v>2179.21</v>
      </c>
      <c r="I14" s="229"/>
      <c r="Y14" s="221"/>
    </row>
    <row r="15" spans="1:27" ht="31.5" customHeight="1">
      <c r="A15" s="224" t="s">
        <v>76</v>
      </c>
      <c r="B15" s="418" t="s">
        <v>77</v>
      </c>
      <c r="C15" s="126"/>
      <c r="D15" s="13"/>
      <c r="E15" s="13"/>
      <c r="F15" s="13"/>
      <c r="G15" s="9">
        <f t="shared" si="0"/>
        <v>0</v>
      </c>
      <c r="H15" s="1"/>
      <c r="I15" s="229"/>
      <c r="J15" s="651" t="s">
        <v>89</v>
      </c>
      <c r="K15" s="652"/>
      <c r="Y15" s="221"/>
    </row>
    <row r="16" spans="1:27">
      <c r="A16" s="224" t="s">
        <v>139</v>
      </c>
      <c r="B16" s="418" t="s">
        <v>140</v>
      </c>
      <c r="C16" s="126">
        <f>420.96+393.96+143.29+268.99+63.99+215</f>
        <v>1506.1899999999998</v>
      </c>
      <c r="D16" s="13"/>
      <c r="E16" s="13"/>
      <c r="F16" s="13"/>
      <c r="G16" s="9">
        <f>C16</f>
        <v>1506.1899999999998</v>
      </c>
      <c r="H16" s="1"/>
      <c r="I16" s="229"/>
      <c r="J16" s="359" t="s">
        <v>50</v>
      </c>
      <c r="K16" s="360">
        <v>3890</v>
      </c>
      <c r="Y16" s="221"/>
    </row>
    <row r="17" spans="1:25">
      <c r="A17" s="219" t="s">
        <v>79</v>
      </c>
      <c r="B17" s="418" t="s">
        <v>80</v>
      </c>
      <c r="C17" s="17">
        <f>114.54+90+24+250+32+93.09+69.39</f>
        <v>673.02</v>
      </c>
      <c r="D17" s="13"/>
      <c r="E17" s="13"/>
      <c r="F17" s="13"/>
      <c r="G17" s="9">
        <f t="shared" si="0"/>
        <v>673.02</v>
      </c>
      <c r="H17" s="1"/>
      <c r="I17" s="229"/>
      <c r="J17" s="363" t="s">
        <v>53</v>
      </c>
      <c r="K17" s="364">
        <f>G9+G10+G11+G13</f>
        <v>3114.5122307999995</v>
      </c>
      <c r="Y17" s="221"/>
    </row>
    <row r="18" spans="1:25">
      <c r="A18" s="219"/>
      <c r="B18" s="418"/>
      <c r="C18" s="17"/>
      <c r="D18" s="13"/>
      <c r="E18" s="13"/>
      <c r="F18" s="13"/>
      <c r="G18" s="9"/>
      <c r="H18" s="1"/>
      <c r="I18" s="229"/>
      <c r="J18" s="375" t="s">
        <v>322</v>
      </c>
      <c r="K18" s="376">
        <f>K16/Y6</f>
        <v>40</v>
      </c>
      <c r="Y18" s="221"/>
    </row>
    <row r="19" spans="1:25">
      <c r="A19" s="391" t="s">
        <v>82</v>
      </c>
      <c r="B19" s="420" t="s">
        <v>83</v>
      </c>
      <c r="C19" s="345">
        <f>C4-C5</f>
        <v>6233.2270691999993</v>
      </c>
      <c r="D19" s="405">
        <f>C19/C4</f>
        <v>0.46596564323417566</v>
      </c>
      <c r="E19" s="345">
        <f>E4-E5</f>
        <v>0</v>
      </c>
      <c r="F19" s="405" t="e">
        <f>E19/E4</f>
        <v>#DIV/0!</v>
      </c>
      <c r="G19" s="404">
        <f>G4-G5</f>
        <v>6233.2270691999993</v>
      </c>
      <c r="H19" s="405">
        <f>G19/G4</f>
        <v>0.46596564323417566</v>
      </c>
      <c r="I19" s="229"/>
      <c r="J19" s="377" t="s">
        <v>141</v>
      </c>
      <c r="K19" s="409">
        <f>K17/Y7</f>
        <v>49.832195692799992</v>
      </c>
      <c r="Y19" s="221"/>
    </row>
    <row r="20" spans="1:25">
      <c r="A20" s="422" t="s">
        <v>142</v>
      </c>
      <c r="B20" s="339" t="s">
        <v>143</v>
      </c>
      <c r="C20" s="340"/>
      <c r="D20" s="341"/>
      <c r="E20" s="342"/>
      <c r="F20" s="341"/>
      <c r="G20" s="406">
        <f>K4-10905.05</f>
        <v>4083.34</v>
      </c>
      <c r="H20" s="429">
        <f>G20/K4</f>
        <v>0.27243353021905625</v>
      </c>
      <c r="I20" s="229"/>
      <c r="Y20" s="221"/>
    </row>
    <row r="21" spans="1:25" ht="31.5" customHeight="1">
      <c r="A21" s="225"/>
      <c r="B21" s="98"/>
      <c r="C21" s="98"/>
      <c r="D21" s="98"/>
      <c r="E21" s="98"/>
      <c r="F21" s="98"/>
      <c r="I21" s="229"/>
      <c r="J21" s="373" t="s">
        <v>100</v>
      </c>
      <c r="K21" s="374"/>
      <c r="M21" s="24" t="s">
        <v>37</v>
      </c>
      <c r="N21" s="631" t="s">
        <v>90</v>
      </c>
      <c r="O21" s="632"/>
      <c r="P21" s="632"/>
      <c r="Q21" s="632"/>
      <c r="R21" s="632"/>
      <c r="S21" s="632"/>
      <c r="T21" s="632"/>
      <c r="U21" s="632"/>
      <c r="V21" s="632"/>
      <c r="W21" s="632"/>
      <c r="X21" s="633"/>
      <c r="Y21" s="324"/>
    </row>
    <row r="22" spans="1:25" ht="24" customHeight="1">
      <c r="A22" s="395" t="s">
        <v>86</v>
      </c>
      <c r="B22" s="382" t="s">
        <v>144</v>
      </c>
      <c r="C22" s="337" t="s">
        <v>323</v>
      </c>
      <c r="D22" s="101"/>
      <c r="E22" s="101"/>
      <c r="F22" s="101"/>
      <c r="I22" s="229"/>
      <c r="J22" s="367" t="s">
        <v>50</v>
      </c>
      <c r="K22" s="368">
        <f>Y6/K6</f>
        <v>3.89</v>
      </c>
      <c r="M22" s="27" t="s">
        <v>42</v>
      </c>
      <c r="N22" s="28">
        <f>N4</f>
        <v>0</v>
      </c>
      <c r="O22" s="29">
        <f>O4</f>
        <v>0</v>
      </c>
      <c r="P22" s="28">
        <f>P4</f>
        <v>0</v>
      </c>
      <c r="Q22" s="29">
        <f>Q4</f>
        <v>0</v>
      </c>
      <c r="R22" s="29">
        <f>R4</f>
        <v>0</v>
      </c>
      <c r="S22" s="29"/>
      <c r="T22" s="28"/>
      <c r="U22" s="28"/>
      <c r="V22" s="28"/>
      <c r="W22" s="28"/>
      <c r="X22" s="28"/>
      <c r="Y22" s="684" t="s">
        <v>49</v>
      </c>
    </row>
    <row r="23" spans="1:25">
      <c r="A23" s="227" t="s">
        <v>88</v>
      </c>
      <c r="B23" s="410">
        <f>H6/G5</f>
        <v>0.127897223200997</v>
      </c>
      <c r="C23" s="415">
        <f>389.55/10905.05</f>
        <v>3.5721982017505656E-2</v>
      </c>
      <c r="D23" s="103"/>
      <c r="E23" s="103"/>
      <c r="F23" s="103"/>
      <c r="I23" s="229"/>
      <c r="J23" s="369" t="s">
        <v>53</v>
      </c>
      <c r="K23" s="370">
        <f>Y7/K6</f>
        <v>2.5</v>
      </c>
      <c r="M23" s="27"/>
      <c r="N23" s="66">
        <v>1</v>
      </c>
      <c r="O23" s="66">
        <v>2</v>
      </c>
      <c r="P23" s="66">
        <v>3</v>
      </c>
      <c r="Q23" s="66">
        <v>4</v>
      </c>
      <c r="R23" s="66">
        <v>5</v>
      </c>
      <c r="S23" s="66">
        <v>6</v>
      </c>
      <c r="T23" s="66">
        <v>7</v>
      </c>
      <c r="U23" s="66">
        <v>8</v>
      </c>
      <c r="V23" s="66">
        <v>9</v>
      </c>
      <c r="W23" s="66">
        <v>10</v>
      </c>
      <c r="X23" s="66">
        <v>11</v>
      </c>
      <c r="Y23" s="685"/>
    </row>
    <row r="24" spans="1:25">
      <c r="A24" s="227" t="s">
        <v>89</v>
      </c>
      <c r="B24" s="410">
        <f>H9/G5</f>
        <v>0.56705291440684324</v>
      </c>
      <c r="C24" s="415">
        <f>3890/10905.05</f>
        <v>0.35671546668745219</v>
      </c>
      <c r="D24" s="103"/>
      <c r="E24" s="103"/>
      <c r="F24" s="103"/>
      <c r="I24" s="229"/>
      <c r="J24" s="365" t="s">
        <v>146</v>
      </c>
      <c r="K24" s="366">
        <f>K23*K19</f>
        <v>124.58048923199998</v>
      </c>
      <c r="M24" s="68"/>
      <c r="N24" s="69">
        <f>Y24</f>
        <v>3000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326">
        <f>K26</f>
        <v>3000</v>
      </c>
    </row>
    <row r="25" spans="1:25">
      <c r="A25" s="228" t="s">
        <v>91</v>
      </c>
      <c r="B25" s="411">
        <f>H14/G5</f>
        <v>0.30504986239215987</v>
      </c>
      <c r="C25" s="416">
        <f>6625.5/10905.05</f>
        <v>0.60756255129504222</v>
      </c>
      <c r="D25" s="103"/>
      <c r="E25" s="103"/>
      <c r="F25" s="103"/>
      <c r="I25" s="229"/>
      <c r="M25" s="68"/>
      <c r="N25" s="71">
        <f>G14+G15</f>
        <v>0</v>
      </c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327">
        <f t="shared" ref="Y25" si="1">N25+O25+P25+Q25+R25+S25+X25+T25+U25+V25+W25</f>
        <v>0</v>
      </c>
    </row>
    <row r="26" spans="1:25">
      <c r="A26" s="229"/>
      <c r="I26" s="229"/>
      <c r="J26" s="371" t="s">
        <v>90</v>
      </c>
      <c r="K26" s="372">
        <v>3000</v>
      </c>
      <c r="Y26" s="221"/>
    </row>
    <row r="27" spans="1:25">
      <c r="A27" s="229"/>
      <c r="I27" s="229"/>
      <c r="J27" s="359" t="s">
        <v>50</v>
      </c>
      <c r="K27" s="360">
        <f>X27</f>
        <v>0</v>
      </c>
      <c r="Y27" s="221"/>
    </row>
    <row r="28" spans="1:25" ht="24.75" customHeight="1">
      <c r="A28" s="229"/>
      <c r="I28" s="229"/>
      <c r="J28" s="363" t="s">
        <v>53</v>
      </c>
      <c r="K28" s="364">
        <f>X28</f>
        <v>0</v>
      </c>
      <c r="Y28" s="221"/>
    </row>
    <row r="29" spans="1:25">
      <c r="A29" s="229"/>
      <c r="I29" s="229"/>
      <c r="J29" s="365" t="s">
        <v>147</v>
      </c>
      <c r="K29" s="421">
        <v>0</v>
      </c>
      <c r="Y29" s="221"/>
    </row>
    <row r="30" spans="1:25">
      <c r="A30" s="229"/>
      <c r="I30" s="229"/>
      <c r="Y30" s="221"/>
    </row>
    <row r="31" spans="1:25">
      <c r="A31" s="229"/>
      <c r="I31" s="229"/>
      <c r="J31" s="189" t="s">
        <v>92</v>
      </c>
      <c r="K31" s="136"/>
      <c r="Y31" s="221"/>
    </row>
    <row r="32" spans="1:25" ht="27.75">
      <c r="A32" s="229"/>
      <c r="I32" s="229"/>
      <c r="J32" s="10" t="s">
        <v>93</v>
      </c>
      <c r="K32" s="136"/>
      <c r="Y32" s="221"/>
    </row>
    <row r="33" spans="1:25">
      <c r="A33" s="229"/>
      <c r="I33" s="229"/>
      <c r="Y33" s="221"/>
    </row>
    <row r="34" spans="1:25">
      <c r="A34" s="229"/>
      <c r="I34" s="229"/>
      <c r="J34" s="408" t="s">
        <v>94</v>
      </c>
      <c r="K34" s="407"/>
      <c r="Y34" s="221"/>
    </row>
    <row r="35" spans="1:25">
      <c r="A35" s="230"/>
      <c r="B35" s="231"/>
      <c r="C35" s="231"/>
      <c r="D35" s="231"/>
      <c r="E35" s="231"/>
      <c r="F35" s="231"/>
      <c r="G35" s="231"/>
      <c r="H35" s="231"/>
      <c r="I35" s="230"/>
      <c r="J35" s="423">
        <v>45342</v>
      </c>
      <c r="K35" s="338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2"/>
    </row>
    <row r="39" spans="1:25">
      <c r="A39" s="181"/>
      <c r="B39" s="199"/>
    </row>
    <row r="40" spans="1:25">
      <c r="B40" s="1"/>
    </row>
    <row r="41" spans="1:25">
      <c r="A41" s="197"/>
      <c r="B41" s="1"/>
    </row>
    <row r="42" spans="1:25">
      <c r="B42" s="1"/>
    </row>
  </sheetData>
  <mergeCells count="13">
    <mergeCell ref="Y22:Y23"/>
    <mergeCell ref="Y4:Y5"/>
    <mergeCell ref="N21:X21"/>
    <mergeCell ref="J11:K11"/>
    <mergeCell ref="J15:K15"/>
    <mergeCell ref="B1:Y1"/>
    <mergeCell ref="A2:H2"/>
    <mergeCell ref="I2:Y2"/>
    <mergeCell ref="C3:D3"/>
    <mergeCell ref="E3:F3"/>
    <mergeCell ref="G3:H3"/>
    <mergeCell ref="J3:K3"/>
    <mergeCell ref="N3:X3"/>
  </mergeCells>
  <pageMargins left="0.7" right="0.7" top="0.75" bottom="0.75" header="0.3" footer="0.3"/>
  <pageSetup paperSize="9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BE95-2944-4B7F-B014-895612E51D5F}">
  <sheetPr>
    <pageSetUpPr fitToPage="1"/>
  </sheetPr>
  <dimension ref="A1:AB61"/>
  <sheetViews>
    <sheetView workbookViewId="0">
      <selection activeCell="B25" sqref="B25"/>
    </sheetView>
  </sheetViews>
  <sheetFormatPr defaultColWidth="9.140625" defaultRowHeight="15" outlineLevelCol="1"/>
  <cols>
    <col min="1" max="1" width="36.42578125" bestFit="1" customWidth="1"/>
    <col min="2" max="2" width="30.140625" bestFit="1" customWidth="1"/>
    <col min="3" max="3" width="11.5703125" customWidth="1"/>
    <col min="4" max="4" width="10.85546875" customWidth="1"/>
    <col min="5" max="5" width="10.7109375" customWidth="1"/>
    <col min="6" max="6" width="10.140625" customWidth="1"/>
    <col min="7" max="7" width="10.7109375" customWidth="1" outlineLevel="1"/>
    <col min="8" max="8" width="10.140625" customWidth="1" outlineLevel="1"/>
    <col min="9" max="10" width="10.7109375" customWidth="1"/>
    <col min="11" max="11" width="3" customWidth="1"/>
    <col min="12" max="12" width="26.7109375" customWidth="1"/>
    <col min="13" max="13" width="16" customWidth="1"/>
    <col min="14" max="14" width="2.85546875" customWidth="1"/>
    <col min="15" max="16" width="8.140625" customWidth="1"/>
    <col min="17" max="17" width="6.7109375" customWidth="1"/>
    <col min="18" max="22" width="6.7109375" hidden="1" customWidth="1" outlineLevel="1"/>
    <col min="23" max="23" width="6.5703125" hidden="1" customWidth="1" outlineLevel="1"/>
    <col min="24" max="24" width="12.7109375" hidden="1" customWidth="1" outlineLevel="1"/>
    <col min="25" max="25" width="2.5703125" hidden="1" customWidth="1" outlineLevel="1"/>
    <col min="26" max="26" width="8.7109375" customWidth="1" collapsed="1"/>
    <col min="27" max="27" width="12.7109375" customWidth="1"/>
  </cols>
  <sheetData>
    <row r="1" spans="1:28" ht="25.5">
      <c r="A1" s="187" t="s">
        <v>381</v>
      </c>
      <c r="B1" s="747" t="s">
        <v>382</v>
      </c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7"/>
      <c r="P1" s="747"/>
      <c r="Q1" s="747"/>
      <c r="R1" s="747"/>
      <c r="S1" s="747"/>
      <c r="T1" s="747"/>
      <c r="U1" s="747"/>
      <c r="V1" s="747"/>
      <c r="W1" s="747"/>
      <c r="X1" s="747"/>
      <c r="Y1" s="747"/>
      <c r="Z1" s="747"/>
    </row>
    <row r="2" spans="1:28" ht="18.75">
      <c r="A2" s="681" t="s">
        <v>30</v>
      </c>
      <c r="B2" s="636"/>
      <c r="C2" s="636"/>
      <c r="D2" s="636"/>
      <c r="E2" s="636"/>
      <c r="F2" s="636"/>
      <c r="G2" s="636"/>
      <c r="H2" s="636"/>
      <c r="I2" s="636"/>
      <c r="J2" s="748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707"/>
    </row>
    <row r="3" spans="1:28">
      <c r="A3" s="229"/>
      <c r="C3" s="640">
        <v>45315</v>
      </c>
      <c r="D3" s="749"/>
      <c r="E3" s="692">
        <v>45324</v>
      </c>
      <c r="F3" s="641"/>
      <c r="G3" s="640" t="s">
        <v>383</v>
      </c>
      <c r="H3" s="641"/>
      <c r="I3" s="698" t="s">
        <v>36</v>
      </c>
      <c r="J3" s="699"/>
      <c r="K3" s="110"/>
      <c r="L3" s="670" t="s">
        <v>138</v>
      </c>
      <c r="M3" s="671"/>
      <c r="N3" s="110"/>
      <c r="O3" s="644" t="s">
        <v>13</v>
      </c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324"/>
    </row>
    <row r="4" spans="1:28">
      <c r="A4" s="216" t="s">
        <v>40</v>
      </c>
      <c r="B4" s="196" t="s">
        <v>41</v>
      </c>
      <c r="C4" s="77">
        <f>M4+M5</f>
        <v>55112.34</v>
      </c>
      <c r="D4" s="149"/>
      <c r="E4" s="321"/>
      <c r="F4" s="138"/>
      <c r="G4" s="16">
        <f>M11</f>
        <v>0</v>
      </c>
      <c r="H4" s="138"/>
      <c r="I4" s="135">
        <f>C4</f>
        <v>55112.34</v>
      </c>
      <c r="J4" s="437"/>
      <c r="K4" s="110"/>
      <c r="L4" s="349" t="s">
        <v>64</v>
      </c>
      <c r="M4" s="350">
        <v>43564.77</v>
      </c>
      <c r="N4" s="110"/>
      <c r="O4" s="188" t="s">
        <v>384</v>
      </c>
      <c r="P4" s="188" t="s">
        <v>385</v>
      </c>
      <c r="Q4" s="188" t="s">
        <v>386</v>
      </c>
      <c r="R4" s="160"/>
      <c r="S4" s="160"/>
      <c r="T4" s="160"/>
      <c r="U4" s="160"/>
      <c r="V4" s="160"/>
      <c r="W4" s="29"/>
      <c r="X4" s="29"/>
      <c r="Y4" s="29"/>
      <c r="Z4" s="682" t="s">
        <v>49</v>
      </c>
    </row>
    <row r="5" spans="1:28">
      <c r="A5" s="216" t="s">
        <v>51</v>
      </c>
      <c r="B5" s="191" t="s">
        <v>52</v>
      </c>
      <c r="C5" s="190">
        <f>C6+C7+C8+C9+C10+C11+C13+C14+C17+C15+C12+C16</f>
        <v>34945.014932295999</v>
      </c>
      <c r="D5" s="12"/>
      <c r="E5" s="190">
        <f>E6+E7+E8+E9+E10+E11+E13+E14+E17+E15+E12</f>
        <v>2349.0542600017284</v>
      </c>
      <c r="F5" s="12"/>
      <c r="G5" s="161">
        <f>G6+G7+G8+G9+G10+G11+G13+G14+G17+G15+G12</f>
        <v>210.73999999999998</v>
      </c>
      <c r="H5" s="12"/>
      <c r="I5" s="8">
        <f>I6+I7+I8+I9+I10+I11+I13+I14+I17+I15+I12+I18+I16</f>
        <v>37504.809192297726</v>
      </c>
      <c r="J5" s="386"/>
      <c r="L5" s="399" t="s">
        <v>67</v>
      </c>
      <c r="M5" s="400">
        <v>11547.57</v>
      </c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683"/>
    </row>
    <row r="6" spans="1:28">
      <c r="A6" s="217" t="s">
        <v>54</v>
      </c>
      <c r="B6" s="86" t="s">
        <v>55</v>
      </c>
      <c r="C6" s="126">
        <f>637.31/2+233.02+148.67+7.11+38.54+25.09+45.16+98.3+953.34+144.37+20.27+8.38+16.73+4.4+11.9+27.98+26.88+77.81+6.14+24.35+20.29+33.38+30.88+17.64+432.54+C61+7.09+15.96+3.54+16.34+81.99+10.57+89.13+91.64+81.21+4.42+6.19+3.97+149.29+3.53+10.59+26.55+15.86+11.93+48.45+48.54+41.63+117.99+82.46+21.67+73.44+11.53+52.23+209.19+29.11+90.11+73.69+97.95</f>
        <v>6999.1020999999964</v>
      </c>
      <c r="D6" s="145">
        <f>C6+C7+C8</f>
        <v>8389.1020999999964</v>
      </c>
      <c r="E6" s="147"/>
      <c r="F6" s="145">
        <f>E6+E7+E8</f>
        <v>0</v>
      </c>
      <c r="G6" s="127">
        <f>45+22.94+50.98+68.82</f>
        <v>187.73999999999998</v>
      </c>
      <c r="H6" s="145">
        <f>G6+G7+G8</f>
        <v>187.73999999999998</v>
      </c>
      <c r="I6" s="9">
        <f>C6+E6+G6</f>
        <v>7186.8420999999962</v>
      </c>
      <c r="J6" s="387">
        <f>I6+I7+I8</f>
        <v>8576.8420999999962</v>
      </c>
      <c r="L6" s="351" t="s">
        <v>71</v>
      </c>
      <c r="M6" s="352">
        <v>52.25</v>
      </c>
      <c r="O6" s="40">
        <f>Z6/2</f>
        <v>268.5</v>
      </c>
      <c r="P6" s="40">
        <f>O6</f>
        <v>268.5</v>
      </c>
      <c r="Q6" s="40">
        <v>70</v>
      </c>
      <c r="R6" s="40"/>
      <c r="S6" s="40"/>
      <c r="T6" s="40"/>
      <c r="U6" s="41"/>
      <c r="V6" s="41"/>
      <c r="W6" s="41"/>
      <c r="X6" s="41"/>
      <c r="Y6" s="41"/>
      <c r="Z6" s="397">
        <f>467+Q6</f>
        <v>537</v>
      </c>
    </row>
    <row r="7" spans="1:28">
      <c r="A7" s="219" t="s">
        <v>56</v>
      </c>
      <c r="B7" s="86" t="s">
        <v>57</v>
      </c>
      <c r="C7" s="17"/>
      <c r="D7" s="13"/>
      <c r="E7" s="13"/>
      <c r="F7" s="13"/>
      <c r="G7" s="17"/>
      <c r="H7" s="13"/>
      <c r="I7" s="9">
        <f t="shared" ref="I7:I17" si="0">C7+E7+G7</f>
        <v>0</v>
      </c>
      <c r="J7" s="387"/>
      <c r="L7" s="353" t="s">
        <v>74</v>
      </c>
      <c r="M7" s="354" t="s">
        <v>75</v>
      </c>
      <c r="O7" s="49">
        <v>471</v>
      </c>
      <c r="P7" s="50">
        <v>243.85</v>
      </c>
      <c r="Q7" s="50">
        <f>14.53+16.13+14.6+9.75+12.83+15.26</f>
        <v>83.100000000000009</v>
      </c>
      <c r="R7" s="50"/>
      <c r="S7" s="50"/>
      <c r="T7" s="50"/>
      <c r="U7" s="51"/>
      <c r="V7" s="51"/>
      <c r="W7" s="51"/>
      <c r="X7" s="51"/>
      <c r="Y7" s="51"/>
      <c r="Z7" s="435">
        <f>O7+P7+Q7+R7+S7+T7+U7+V7+W7</f>
        <v>797.95</v>
      </c>
      <c r="AA7" s="1">
        <f>Z6-Z7</f>
        <v>-260.95000000000005</v>
      </c>
      <c r="AB7" s="1"/>
    </row>
    <row r="8" spans="1:28">
      <c r="A8" s="220" t="s">
        <v>58</v>
      </c>
      <c r="B8" s="76" t="s">
        <v>59</v>
      </c>
      <c r="C8" s="144">
        <f>450+650+290</f>
        <v>1390</v>
      </c>
      <c r="D8" s="14"/>
      <c r="E8" s="14"/>
      <c r="F8" s="14"/>
      <c r="G8" s="18"/>
      <c r="H8" s="14"/>
      <c r="I8" s="174">
        <f t="shared" si="0"/>
        <v>1390</v>
      </c>
      <c r="J8" s="388"/>
      <c r="L8" s="355" t="s">
        <v>78</v>
      </c>
      <c r="M8" s="356">
        <v>13</v>
      </c>
      <c r="Z8" s="221"/>
    </row>
    <row r="9" spans="1:28">
      <c r="A9" s="217" t="s">
        <v>60</v>
      </c>
      <c r="B9" s="75" t="s">
        <v>61</v>
      </c>
      <c r="C9" s="153">
        <f>((O7+P7)*14-C13)*1.42</f>
        <v>9241.2179999999989</v>
      </c>
      <c r="D9" s="141">
        <f>C9+C10+C11+C13+C12</f>
        <v>19692.782832295998</v>
      </c>
      <c r="E9" s="148">
        <f>(83*14-E13+148.96)*1.42</f>
        <v>1009.5632000000001</v>
      </c>
      <c r="F9" s="128">
        <f>E9+E10+E11+E13+E12</f>
        <v>2083.8642600017283</v>
      </c>
      <c r="G9" s="139"/>
      <c r="H9" s="6">
        <f>G9+G10+G11+G13+G12</f>
        <v>0</v>
      </c>
      <c r="I9" s="169">
        <f t="shared" si="0"/>
        <v>10250.781199999999</v>
      </c>
      <c r="J9" s="389">
        <f>I9+I10+I11+I13+I12</f>
        <v>21776.647092297728</v>
      </c>
      <c r="L9" s="357" t="s">
        <v>81</v>
      </c>
      <c r="M9" s="358">
        <v>12</v>
      </c>
      <c r="Z9" s="221"/>
    </row>
    <row r="10" spans="1:28">
      <c r="A10" s="219" t="s">
        <v>62</v>
      </c>
      <c r="B10" s="86" t="s">
        <v>63</v>
      </c>
      <c r="C10" s="126">
        <f>C9*0.2359</f>
        <v>2180.0033261999997</v>
      </c>
      <c r="D10" s="13"/>
      <c r="E10" s="145">
        <f>E9*0.2359</f>
        <v>238.15595888000001</v>
      </c>
      <c r="F10" s="83"/>
      <c r="G10" s="126">
        <f>G9*0.2359</f>
        <v>0</v>
      </c>
      <c r="H10" s="83"/>
      <c r="I10" s="169">
        <f t="shared" si="0"/>
        <v>2418.1592850799998</v>
      </c>
      <c r="J10" s="388"/>
      <c r="Z10" s="221"/>
    </row>
    <row r="11" spans="1:28">
      <c r="A11" s="219" t="s">
        <v>65</v>
      </c>
      <c r="B11" s="86" t="s">
        <v>66</v>
      </c>
      <c r="C11" s="126">
        <f>(C9+C10)*0.08</f>
        <v>913.69770609599993</v>
      </c>
      <c r="D11" s="13"/>
      <c r="E11" s="145">
        <f>(E9+E10)*0.08</f>
        <v>99.817532710400016</v>
      </c>
      <c r="F11" s="83"/>
      <c r="G11" s="126">
        <f>(G9+G10)*0.08</f>
        <v>0</v>
      </c>
      <c r="H11" s="83"/>
      <c r="I11" s="169">
        <f t="shared" si="0"/>
        <v>1013.5152388063999</v>
      </c>
      <c r="J11" s="388"/>
      <c r="L11" s="674" t="s">
        <v>85</v>
      </c>
      <c r="M11" s="675"/>
      <c r="Z11" s="221"/>
    </row>
    <row r="12" spans="1:28">
      <c r="A12" s="222" t="s">
        <v>68</v>
      </c>
      <c r="B12" s="92" t="s">
        <v>21</v>
      </c>
      <c r="C12" s="127">
        <f>(C4)*0.07</f>
        <v>3857.8638000000001</v>
      </c>
      <c r="D12" s="133"/>
      <c r="E12" s="147">
        <f>(E13+E11+E10+E9)*0.07</f>
        <v>136.32756841132803</v>
      </c>
      <c r="F12" s="123"/>
      <c r="G12" s="127">
        <f>(G13+G11+G10+G9)*0.07</f>
        <v>0</v>
      </c>
      <c r="H12" s="123"/>
      <c r="I12" s="169">
        <f t="shared" si="0"/>
        <v>3994.1913684113283</v>
      </c>
      <c r="J12" s="388"/>
      <c r="L12" s="359" t="s">
        <v>50</v>
      </c>
      <c r="M12" s="360">
        <v>8824.2099999999991</v>
      </c>
      <c r="Z12" s="221"/>
    </row>
    <row r="13" spans="1:28">
      <c r="A13" s="219" t="s">
        <v>69</v>
      </c>
      <c r="B13" s="86" t="s">
        <v>70</v>
      </c>
      <c r="C13" s="130">
        <f>11*5*50+9*50+6*50</f>
        <v>3500</v>
      </c>
      <c r="D13" s="134"/>
      <c r="E13" s="164">
        <f>50*2*3+150*2</f>
        <v>600</v>
      </c>
      <c r="F13" s="125"/>
      <c r="G13" s="140"/>
      <c r="H13" s="125"/>
      <c r="I13" s="171">
        <f t="shared" si="0"/>
        <v>4100</v>
      </c>
      <c r="J13" s="390"/>
      <c r="L13" s="361" t="s">
        <v>53</v>
      </c>
      <c r="M13" s="362">
        <f>J6</f>
        <v>8576.8420999999962</v>
      </c>
      <c r="Z13" s="221"/>
    </row>
    <row r="14" spans="1:28">
      <c r="A14" s="223" t="s">
        <v>72</v>
      </c>
      <c r="B14" s="75" t="s">
        <v>73</v>
      </c>
      <c r="C14" s="20">
        <f>2810.85+90.96</f>
        <v>2901.81</v>
      </c>
      <c r="D14" s="13">
        <f>C14+C17+C15+C16</f>
        <v>6863.1299999999992</v>
      </c>
      <c r="E14" s="13"/>
      <c r="F14" s="145">
        <f>E14+E17+E15</f>
        <v>265.19</v>
      </c>
      <c r="G14" s="17"/>
      <c r="H14" s="13">
        <f>G14+G17+G15</f>
        <v>23</v>
      </c>
      <c r="I14" s="9">
        <f t="shared" si="0"/>
        <v>2901.81</v>
      </c>
      <c r="J14" s="388">
        <f>I14+I17+I15+I18+I16</f>
        <v>7151.32</v>
      </c>
      <c r="Z14" s="221"/>
    </row>
    <row r="15" spans="1:28">
      <c r="A15" s="224" t="s">
        <v>76</v>
      </c>
      <c r="B15" s="86" t="s">
        <v>77</v>
      </c>
      <c r="C15" s="17">
        <f>740.85+951.89+279/2+15.71</f>
        <v>1847.95</v>
      </c>
      <c r="D15" s="13"/>
      <c r="E15" s="147"/>
      <c r="F15" s="13"/>
      <c r="G15" s="20"/>
      <c r="H15" s="13"/>
      <c r="I15" s="9">
        <f t="shared" si="0"/>
        <v>1847.95</v>
      </c>
      <c r="J15" s="388"/>
      <c r="L15" s="651" t="s">
        <v>89</v>
      </c>
      <c r="M15" s="652"/>
      <c r="Z15" s="221"/>
    </row>
    <row r="16" spans="1:28">
      <c r="A16" s="224" t="s">
        <v>139</v>
      </c>
      <c r="B16" s="86" t="s">
        <v>140</v>
      </c>
      <c r="C16" s="17">
        <f>105.48+355.89+19.05+291.4+19.9+17.32+17.4+223.39+15.19+200</f>
        <v>1265.02</v>
      </c>
      <c r="D16" s="13"/>
      <c r="E16" s="147"/>
      <c r="F16" s="13"/>
      <c r="G16" s="20"/>
      <c r="H16" s="13"/>
      <c r="I16" s="9">
        <f>C16</f>
        <v>1265.02</v>
      </c>
      <c r="J16" s="388"/>
      <c r="L16" s="359" t="s">
        <v>50</v>
      </c>
      <c r="M16" s="360">
        <v>11606.14</v>
      </c>
      <c r="Z16" s="221"/>
    </row>
    <row r="17" spans="1:26">
      <c r="A17" s="219" t="s">
        <v>79</v>
      </c>
      <c r="B17" s="86" t="s">
        <v>80</v>
      </c>
      <c r="C17" s="17">
        <f>132.76+35.46/2+35.35+6.16+7.92+52.79+5.03+28.64+31.43+32.46+29.13+26.6+32.18+22.18+19.43+98.29+106.45+96.71+7.52+7.09+52.5</f>
        <v>848.35</v>
      </c>
      <c r="D17" s="13"/>
      <c r="E17" s="13">
        <f>80.8+10.59+91.97+62.28+19.55</f>
        <v>265.19</v>
      </c>
      <c r="F17" s="13"/>
      <c r="G17" s="17">
        <v>23</v>
      </c>
      <c r="H17" s="13"/>
      <c r="I17" s="9">
        <f t="shared" si="0"/>
        <v>1136.54</v>
      </c>
      <c r="J17" s="388"/>
      <c r="L17" s="363" t="s">
        <v>53</v>
      </c>
      <c r="M17" s="434">
        <f>I9+I10+I11+I13</f>
        <v>17782.4557238864</v>
      </c>
      <c r="Z17" s="221"/>
    </row>
    <row r="18" spans="1:26">
      <c r="A18" s="219"/>
      <c r="B18" s="86"/>
      <c r="C18" s="17"/>
      <c r="D18" s="13"/>
      <c r="E18" s="13"/>
      <c r="F18" s="13"/>
      <c r="G18" s="17"/>
      <c r="H18" s="13"/>
      <c r="I18" s="9"/>
      <c r="J18" s="388"/>
      <c r="L18" s="375" t="s">
        <v>322</v>
      </c>
      <c r="M18" s="376">
        <f>M16/(Z6-70)</f>
        <v>24.852548179871519</v>
      </c>
      <c r="Z18" s="221"/>
    </row>
    <row r="19" spans="1:26">
      <c r="A19" s="391" t="s">
        <v>82</v>
      </c>
      <c r="B19" s="344" t="s">
        <v>83</v>
      </c>
      <c r="C19" s="345">
        <f>C4-C5</f>
        <v>20167.325067703998</v>
      </c>
      <c r="D19" s="405">
        <f>C19/C4</f>
        <v>0.3659312064721621</v>
      </c>
      <c r="E19" s="345">
        <f>E4-E5</f>
        <v>-2349.0542600017284</v>
      </c>
      <c r="F19" s="346" t="e">
        <f>E19/E4</f>
        <v>#DIV/0!</v>
      </c>
      <c r="G19" s="345">
        <f>G4-G5</f>
        <v>-210.73999999999998</v>
      </c>
      <c r="H19" s="346" t="e">
        <f>G19/G4</f>
        <v>#DIV/0!</v>
      </c>
      <c r="I19" s="348">
        <f>I4-I5</f>
        <v>17607.530807702271</v>
      </c>
      <c r="J19" s="392">
        <f>I19/I4</f>
        <v>0.31948436244409639</v>
      </c>
      <c r="L19" s="377" t="s">
        <v>141</v>
      </c>
      <c r="M19" s="378">
        <f>M17/Z7</f>
        <v>22.285175416863712</v>
      </c>
      <c r="Z19" s="221"/>
    </row>
    <row r="20" spans="1:26">
      <c r="A20" s="393" t="s">
        <v>142</v>
      </c>
      <c r="B20" s="339" t="s">
        <v>143</v>
      </c>
      <c r="C20" s="339"/>
      <c r="D20" s="339"/>
      <c r="E20" s="339"/>
      <c r="F20" s="339"/>
      <c r="G20" s="339"/>
      <c r="H20" s="339"/>
      <c r="I20" s="433">
        <f>M4-32392.4</f>
        <v>11172.369999999995</v>
      </c>
      <c r="J20" s="438">
        <f>I20/M4</f>
        <v>0.25645424043326742</v>
      </c>
      <c r="O20" s="644" t="s">
        <v>90</v>
      </c>
      <c r="P20" s="645"/>
      <c r="Q20" s="645"/>
      <c r="R20" s="645"/>
      <c r="S20" s="645"/>
      <c r="T20" s="645"/>
      <c r="U20" s="645"/>
      <c r="V20" s="645"/>
      <c r="W20" s="645"/>
      <c r="X20" s="645"/>
      <c r="Y20" s="646"/>
      <c r="Z20" s="324"/>
    </row>
    <row r="21" spans="1:26">
      <c r="A21" s="229"/>
      <c r="D21" s="101"/>
      <c r="E21" s="101"/>
      <c r="F21" s="101"/>
      <c r="G21" s="101"/>
      <c r="H21" s="101"/>
      <c r="J21" s="221"/>
      <c r="L21" s="649" t="s">
        <v>100</v>
      </c>
      <c r="M21" s="650"/>
      <c r="O21" s="188" t="s">
        <v>384</v>
      </c>
      <c r="P21" s="188" t="s">
        <v>385</v>
      </c>
      <c r="Q21" s="188"/>
      <c r="R21" s="160"/>
      <c r="S21" s="160"/>
      <c r="T21" s="160"/>
      <c r="U21" s="160"/>
      <c r="V21" s="160"/>
      <c r="W21" s="28"/>
      <c r="X21" s="28"/>
      <c r="Y21" s="28"/>
      <c r="Z21" s="684" t="s">
        <v>49</v>
      </c>
    </row>
    <row r="22" spans="1:26" ht="27.75">
      <c r="A22" s="395" t="s">
        <v>86</v>
      </c>
      <c r="B22" s="432" t="s">
        <v>144</v>
      </c>
      <c r="C22" s="431" t="s">
        <v>323</v>
      </c>
      <c r="D22" s="103"/>
      <c r="E22" s="103"/>
      <c r="F22" s="103"/>
      <c r="G22" s="103"/>
      <c r="H22" s="103"/>
      <c r="J22" s="221"/>
      <c r="L22" s="367" t="s">
        <v>50</v>
      </c>
      <c r="M22" s="368">
        <f>(Z6-70)/M6</f>
        <v>8.937799043062201</v>
      </c>
      <c r="O22" s="66">
        <v>1</v>
      </c>
      <c r="P22" s="66">
        <v>2</v>
      </c>
      <c r="Q22" s="66">
        <v>3</v>
      </c>
      <c r="R22" s="66">
        <v>4</v>
      </c>
      <c r="S22" s="66">
        <v>5</v>
      </c>
      <c r="T22" s="66">
        <v>6</v>
      </c>
      <c r="U22" s="66">
        <v>7</v>
      </c>
      <c r="V22" s="66">
        <v>8</v>
      </c>
      <c r="W22" s="66">
        <v>9</v>
      </c>
      <c r="X22" s="66">
        <v>10</v>
      </c>
      <c r="Y22" s="66">
        <v>11</v>
      </c>
      <c r="Z22" s="685"/>
    </row>
    <row r="23" spans="1:26">
      <c r="A23" s="226" t="s">
        <v>88</v>
      </c>
      <c r="B23" s="413">
        <f>J6/I5</f>
        <v>0.22868646140883186</v>
      </c>
      <c r="C23" s="410">
        <f>8824.21/32392.4</f>
        <v>0.27241606055741469</v>
      </c>
      <c r="D23" s="103"/>
      <c r="E23" s="103"/>
      <c r="F23" s="103"/>
      <c r="G23" s="103"/>
      <c r="H23" s="103"/>
      <c r="J23" s="221"/>
      <c r="L23" s="369" t="s">
        <v>53</v>
      </c>
      <c r="M23" s="402">
        <f>Z7/M6</f>
        <v>15.271770334928231</v>
      </c>
      <c r="O23" s="69">
        <f>Z23/2</f>
        <v>3100</v>
      </c>
      <c r="P23" s="69">
        <f>O23</f>
        <v>3100</v>
      </c>
      <c r="Q23" s="69"/>
      <c r="R23" s="69"/>
      <c r="S23" s="69"/>
      <c r="T23" s="69"/>
      <c r="U23" s="69"/>
      <c r="V23" s="69"/>
      <c r="W23" s="69"/>
      <c r="X23" s="69"/>
      <c r="Y23" s="69"/>
      <c r="Z23" s="326">
        <f>3000+3200</f>
        <v>6200</v>
      </c>
    </row>
    <row r="24" spans="1:26">
      <c r="A24" s="227" t="s">
        <v>89</v>
      </c>
      <c r="B24" s="413">
        <f>J9/I5</f>
        <v>0.58063612537375464</v>
      </c>
      <c r="C24" s="410">
        <f>11606.14/32392.4</f>
        <v>0.35829824279769323</v>
      </c>
      <c r="D24" s="103"/>
      <c r="E24" s="103"/>
      <c r="F24" s="103"/>
      <c r="G24" s="103"/>
      <c r="H24" s="103"/>
      <c r="J24" s="221"/>
      <c r="L24" s="365" t="s">
        <v>146</v>
      </c>
      <c r="M24" s="366">
        <f>M23*M19</f>
        <v>340.33408083993112</v>
      </c>
      <c r="O24" s="71">
        <f>1594.45+167.99+600</f>
        <v>2362.44</v>
      </c>
      <c r="P24" s="72">
        <f>686.38+530.02+404.31+398.31+279/2+90.96+15.71+121</f>
        <v>2386.19</v>
      </c>
      <c r="Q24" s="72"/>
      <c r="R24" s="72"/>
      <c r="S24" s="72"/>
      <c r="T24" s="72"/>
      <c r="U24" s="72"/>
      <c r="V24" s="72"/>
      <c r="W24" s="72"/>
      <c r="X24" s="72"/>
      <c r="Y24" s="72"/>
      <c r="Z24" s="436">
        <f>V24+U24+T24+S24+R24+Q24+P24+O24+W24</f>
        <v>4748.63</v>
      </c>
    </row>
    <row r="25" spans="1:26">
      <c r="A25" s="228" t="s">
        <v>91</v>
      </c>
      <c r="B25" s="414">
        <f>J14/I5</f>
        <v>0.19067741321741344</v>
      </c>
      <c r="C25" s="411">
        <f>11962.05/32392.4</f>
        <v>0.36928569664489197</v>
      </c>
      <c r="J25" s="221"/>
      <c r="Z25" s="221"/>
    </row>
    <row r="26" spans="1:26">
      <c r="A26" s="229"/>
      <c r="J26" s="221"/>
      <c r="L26" s="651" t="s">
        <v>90</v>
      </c>
      <c r="M26" s="652"/>
      <c r="Z26" s="221"/>
    </row>
    <row r="27" spans="1:26">
      <c r="A27" s="229"/>
      <c r="J27" s="221"/>
      <c r="L27" s="359" t="s">
        <v>50</v>
      </c>
      <c r="M27" s="360">
        <v>6200</v>
      </c>
      <c r="Z27" s="221"/>
    </row>
    <row r="28" spans="1:26" ht="27.75" customHeight="1">
      <c r="A28" s="229"/>
      <c r="J28" s="221"/>
      <c r="L28" s="363" t="s">
        <v>53</v>
      </c>
      <c r="M28" s="364">
        <f>Z24</f>
        <v>4748.63</v>
      </c>
      <c r="Z28" s="221"/>
    </row>
    <row r="29" spans="1:26">
      <c r="A29" s="229"/>
      <c r="J29" s="221"/>
      <c r="L29" s="365" t="s">
        <v>147</v>
      </c>
      <c r="M29" s="366">
        <f>M28/Z7</f>
        <v>5.9510370323955133</v>
      </c>
      <c r="Z29" s="221"/>
    </row>
    <row r="30" spans="1:26">
      <c r="A30" s="229"/>
      <c r="J30" s="221"/>
      <c r="Z30" s="221"/>
    </row>
    <row r="31" spans="1:26">
      <c r="A31" s="229"/>
      <c r="J31" s="221"/>
      <c r="L31" s="189" t="s">
        <v>92</v>
      </c>
      <c r="M31" s="136"/>
      <c r="Z31" s="221"/>
    </row>
    <row r="32" spans="1:26">
      <c r="A32" s="229"/>
      <c r="J32" s="221"/>
      <c r="L32" s="10" t="s">
        <v>93</v>
      </c>
      <c r="M32" s="136"/>
      <c r="Z32" s="221"/>
    </row>
    <row r="33" spans="1:26" ht="15" customHeight="1">
      <c r="A33" s="229"/>
      <c r="J33" s="221"/>
      <c r="Z33" s="221"/>
    </row>
    <row r="34" spans="1:26">
      <c r="A34" s="229"/>
      <c r="J34" s="221"/>
      <c r="L34" s="744" t="s">
        <v>94</v>
      </c>
      <c r="M34" s="744"/>
      <c r="Z34" s="221"/>
    </row>
    <row r="35" spans="1:26">
      <c r="A35" s="229"/>
      <c r="J35" s="221"/>
      <c r="L35" s="623">
        <v>45344</v>
      </c>
      <c r="M35" s="624"/>
      <c r="Z35" s="221"/>
    </row>
    <row r="36" spans="1:26">
      <c r="A36" s="230"/>
      <c r="B36" s="231"/>
      <c r="C36" s="231"/>
      <c r="D36" s="231"/>
      <c r="E36" s="231"/>
      <c r="F36" s="231"/>
      <c r="G36" s="231"/>
      <c r="H36" s="231"/>
      <c r="I36" s="231"/>
      <c r="J36" s="232"/>
      <c r="K36" s="231"/>
      <c r="L36" s="745"/>
      <c r="M36" s="746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2"/>
    </row>
    <row r="37" spans="1:26">
      <c r="L37" s="439"/>
      <c r="M37" s="439"/>
    </row>
    <row r="38" spans="1:26" ht="41.25">
      <c r="C38" s="197" t="s">
        <v>387</v>
      </c>
      <c r="D38" s="197" t="s">
        <v>388</v>
      </c>
    </row>
    <row r="39" spans="1:26">
      <c r="A39" s="314" t="s">
        <v>389</v>
      </c>
      <c r="B39" s="199">
        <v>500725.29</v>
      </c>
      <c r="C39">
        <f>ROUND(B39*0.5,2)</f>
        <v>250362.65</v>
      </c>
      <c r="D39" s="1">
        <f>B39-C39</f>
        <v>250362.63999999998</v>
      </c>
      <c r="I39">
        <f>C39+D39</f>
        <v>500725.29</v>
      </c>
    </row>
    <row r="40" spans="1:26">
      <c r="A40" s="180" t="s">
        <v>390</v>
      </c>
      <c r="B40" s="1">
        <v>11.2125</v>
      </c>
    </row>
    <row r="41" spans="1:26">
      <c r="A41" s="180" t="s">
        <v>391</v>
      </c>
      <c r="B41" s="1">
        <f>ROUND(B39/B40,2)</f>
        <v>44657.77</v>
      </c>
      <c r="C41">
        <f>ROUND(B41*0.5,2)</f>
        <v>22328.89</v>
      </c>
      <c r="D41" s="1">
        <f>B41-C41</f>
        <v>22328.879999999997</v>
      </c>
      <c r="I41">
        <f t="shared" ref="I40:I41" si="1">C41+D41</f>
        <v>44657.77</v>
      </c>
    </row>
    <row r="42" spans="1:26">
      <c r="A42" s="180" t="s">
        <v>392</v>
      </c>
      <c r="B42" s="1">
        <v>630202.4</v>
      </c>
    </row>
    <row r="44" spans="1:26">
      <c r="B44" s="1">
        <f>ROUND(B42/B40,2)</f>
        <v>56205.34</v>
      </c>
      <c r="C44" s="1">
        <f>B44-B41</f>
        <v>11547.57</v>
      </c>
    </row>
    <row r="46" spans="1:26">
      <c r="A46" t="s">
        <v>275</v>
      </c>
      <c r="B46" s="120">
        <v>66302845</v>
      </c>
      <c r="C46">
        <v>3959.83</v>
      </c>
    </row>
    <row r="47" spans="1:26">
      <c r="B47">
        <v>66314550</v>
      </c>
      <c r="C47">
        <v>758.64</v>
      </c>
    </row>
    <row r="48" spans="1:26">
      <c r="B48">
        <v>66326562</v>
      </c>
      <c r="C48">
        <v>3218.12</v>
      </c>
    </row>
    <row r="49" spans="1:3">
      <c r="B49">
        <v>66408881</v>
      </c>
      <c r="C49">
        <v>1008.22</v>
      </c>
    </row>
    <row r="50" spans="1:3">
      <c r="B50">
        <v>66635343</v>
      </c>
      <c r="C50">
        <v>629.64</v>
      </c>
    </row>
    <row r="51" spans="1:3">
      <c r="B51">
        <v>66568080</v>
      </c>
      <c r="C51">
        <v>12801.68</v>
      </c>
    </row>
    <row r="52" spans="1:3">
      <c r="B52">
        <v>66212341</v>
      </c>
      <c r="C52">
        <v>1187.43</v>
      </c>
    </row>
    <row r="54" spans="1:3">
      <c r="A54" t="s">
        <v>393</v>
      </c>
      <c r="B54">
        <v>142276195</v>
      </c>
      <c r="C54">
        <v>2533</v>
      </c>
    </row>
    <row r="55" spans="1:3">
      <c r="B55">
        <v>143175990</v>
      </c>
      <c r="C55">
        <v>140.25</v>
      </c>
    </row>
    <row r="56" spans="1:3">
      <c r="B56">
        <v>142781699</v>
      </c>
      <c r="C56">
        <v>772.88</v>
      </c>
    </row>
    <row r="57" spans="1:3">
      <c r="B57">
        <v>142781798</v>
      </c>
      <c r="C57">
        <v>398.75</v>
      </c>
    </row>
    <row r="58" spans="1:3">
      <c r="B58">
        <v>142276195</v>
      </c>
      <c r="C58">
        <v>633.25</v>
      </c>
    </row>
    <row r="59" spans="1:3">
      <c r="B59">
        <v>142506799</v>
      </c>
      <c r="C59">
        <v>841.5</v>
      </c>
    </row>
    <row r="60" spans="1:3">
      <c r="C60">
        <f>SUM(C46:C59)</f>
        <v>28883.19</v>
      </c>
    </row>
    <row r="61" spans="1:3">
      <c r="C61">
        <f>C60*0.09</f>
        <v>2599.4870999999998</v>
      </c>
    </row>
  </sheetData>
  <mergeCells count="18">
    <mergeCell ref="B1:Z1"/>
    <mergeCell ref="Z21:Z22"/>
    <mergeCell ref="Z4:Z5"/>
    <mergeCell ref="G3:H3"/>
    <mergeCell ref="L11:M11"/>
    <mergeCell ref="L15:M15"/>
    <mergeCell ref="L21:M21"/>
    <mergeCell ref="A2:J2"/>
    <mergeCell ref="C3:D3"/>
    <mergeCell ref="E3:F3"/>
    <mergeCell ref="I3:J3"/>
    <mergeCell ref="K2:Z2"/>
    <mergeCell ref="L34:M34"/>
    <mergeCell ref="L3:M3"/>
    <mergeCell ref="O3:Y3"/>
    <mergeCell ref="O20:Y20"/>
    <mergeCell ref="L35:M36"/>
    <mergeCell ref="L26:M26"/>
  </mergeCells>
  <pageMargins left="0.7" right="0.7" top="0.75" bottom="0.75" header="0.3" footer="0.3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42C-09A0-4DDB-9EA3-0A79BF882AD8}">
  <sheetPr>
    <pageSetUpPr fitToPage="1"/>
  </sheetPr>
  <dimension ref="A1:AB57"/>
  <sheetViews>
    <sheetView workbookViewId="0">
      <selection activeCell="B24" sqref="B24"/>
    </sheetView>
  </sheetViews>
  <sheetFormatPr defaultColWidth="9.140625" defaultRowHeight="15" outlineLevelCol="1"/>
  <cols>
    <col min="1" max="1" width="34.85546875" customWidth="1"/>
    <col min="2" max="2" width="25.140625" customWidth="1"/>
    <col min="3" max="3" width="14" customWidth="1"/>
    <col min="4" max="4" width="12.7109375" customWidth="1"/>
    <col min="5" max="6" width="8.7109375" hidden="1" customWidth="1" outlineLevel="1"/>
    <col min="7" max="7" width="8.7109375" customWidth="1" collapsed="1"/>
    <col min="8" max="8" width="8.7109375" customWidth="1"/>
    <col min="9" max="10" width="10.7109375" customWidth="1"/>
    <col min="11" max="11" width="3.28515625" customWidth="1"/>
    <col min="12" max="12" width="28" customWidth="1"/>
    <col min="13" max="13" width="15.5703125" customWidth="1"/>
    <col min="14" max="14" width="2.85546875" customWidth="1"/>
    <col min="15" max="15" width="7" customWidth="1"/>
    <col min="16" max="16" width="7.85546875" customWidth="1"/>
    <col min="17" max="17" width="7.28515625" customWidth="1"/>
    <col min="18" max="25" width="7.28515625" hidden="1" customWidth="1" outlineLevel="1"/>
    <col min="26" max="26" width="9.7109375" customWidth="1" collapsed="1"/>
    <col min="27" max="27" width="12.7109375" customWidth="1"/>
  </cols>
  <sheetData>
    <row r="1" spans="1:28" ht="25.5">
      <c r="A1" s="233" t="s">
        <v>394</v>
      </c>
      <c r="B1" s="750" t="s">
        <v>395</v>
      </c>
      <c r="C1" s="750"/>
      <c r="D1" s="750"/>
      <c r="E1" s="750"/>
      <c r="F1" s="750"/>
      <c r="G1" s="750"/>
      <c r="H1" s="750"/>
      <c r="I1" s="750"/>
      <c r="J1" s="750"/>
      <c r="K1" s="750"/>
      <c r="L1" s="750"/>
      <c r="M1" s="750"/>
      <c r="N1" s="750"/>
      <c r="O1" s="750"/>
      <c r="P1" s="750"/>
      <c r="Q1" s="750"/>
      <c r="R1" s="750"/>
      <c r="S1" s="750"/>
      <c r="T1" s="750"/>
      <c r="U1" s="750"/>
      <c r="V1" s="750"/>
      <c r="W1" s="750"/>
      <c r="X1" s="750"/>
      <c r="Y1" s="750"/>
      <c r="Z1" s="750"/>
    </row>
    <row r="2" spans="1:28" ht="18.75">
      <c r="A2" s="751" t="s">
        <v>30</v>
      </c>
      <c r="B2" s="636"/>
      <c r="C2" s="636"/>
      <c r="D2" s="636"/>
      <c r="E2" s="636"/>
      <c r="F2" s="636"/>
      <c r="G2" s="636"/>
      <c r="H2" s="636"/>
      <c r="I2" s="636"/>
      <c r="J2" s="748"/>
      <c r="K2" s="7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707"/>
    </row>
    <row r="3" spans="1:28" ht="20.25" customHeight="1">
      <c r="A3" s="229"/>
      <c r="C3" s="640">
        <v>45292</v>
      </c>
      <c r="D3" s="749"/>
      <c r="E3" s="692">
        <v>44958</v>
      </c>
      <c r="F3" s="641"/>
      <c r="G3" s="640" t="s">
        <v>396</v>
      </c>
      <c r="H3" s="641"/>
      <c r="I3" s="698" t="s">
        <v>36</v>
      </c>
      <c r="J3" s="699"/>
      <c r="L3" s="670" t="s">
        <v>138</v>
      </c>
      <c r="M3" s="671"/>
      <c r="N3" s="110"/>
      <c r="O3" s="631" t="s">
        <v>13</v>
      </c>
      <c r="P3" s="632"/>
      <c r="Q3" s="632"/>
      <c r="R3" s="632"/>
      <c r="S3" s="632"/>
      <c r="T3" s="632"/>
      <c r="U3" s="632"/>
      <c r="V3" s="632"/>
      <c r="W3" s="632"/>
      <c r="X3" s="632"/>
      <c r="Y3" s="633"/>
      <c r="Z3" s="324"/>
    </row>
    <row r="4" spans="1:28" ht="18.75" customHeight="1">
      <c r="A4" s="216" t="s">
        <v>40</v>
      </c>
      <c r="B4" s="5" t="s">
        <v>41</v>
      </c>
      <c r="C4" s="77">
        <f>M4+M5</f>
        <v>58921.11</v>
      </c>
      <c r="D4" s="149">
        <f>O7+P7+Q7</f>
        <v>595.38</v>
      </c>
      <c r="E4" s="203"/>
      <c r="F4" s="11"/>
      <c r="G4" s="77"/>
      <c r="H4" s="11"/>
      <c r="I4" s="135">
        <f>C4</f>
        <v>58921.11</v>
      </c>
      <c r="J4" s="385">
        <f>D4+F4</f>
        <v>595.38</v>
      </c>
      <c r="L4" s="349" t="s">
        <v>64</v>
      </c>
      <c r="M4" s="350">
        <v>56957.32</v>
      </c>
      <c r="N4" s="110"/>
      <c r="O4" s="188" t="s">
        <v>397</v>
      </c>
      <c r="P4" s="188" t="s">
        <v>398</v>
      </c>
      <c r="Q4" s="188" t="s">
        <v>386</v>
      </c>
      <c r="R4" s="160"/>
      <c r="S4" s="160"/>
      <c r="T4" s="160"/>
      <c r="U4" s="160"/>
      <c r="V4" s="160"/>
      <c r="W4" s="160"/>
      <c r="X4" s="160"/>
      <c r="Y4" s="29"/>
      <c r="Z4" s="682" t="s">
        <v>49</v>
      </c>
    </row>
    <row r="5" spans="1:28">
      <c r="A5" s="216" t="s">
        <v>51</v>
      </c>
      <c r="B5" s="5" t="s">
        <v>52</v>
      </c>
      <c r="C5" s="161">
        <f>C6+C7+C8+C9+C10+C11+C13+C14+C17+C15+C12</f>
        <v>29972.943652796799</v>
      </c>
      <c r="D5" s="12"/>
      <c r="E5" s="190">
        <f>E6+E7+E8+E9+E10+E11+E13+E14+E17+E15+E12</f>
        <v>0</v>
      </c>
      <c r="F5" s="12"/>
      <c r="G5" s="161">
        <f>G6+G7+G8+G9+G10+G11+G13+G14+G17+G15+G12</f>
        <v>360.9</v>
      </c>
      <c r="H5" s="12"/>
      <c r="I5" s="8">
        <f>I6+I7+I8+I9+I10+I11+I13+I14+I17+I15+I12+I16</f>
        <v>30333.843652796797</v>
      </c>
      <c r="J5" s="386"/>
      <c r="L5" s="399" t="s">
        <v>67</v>
      </c>
      <c r="M5" s="400">
        <v>1963.79</v>
      </c>
      <c r="O5" s="74">
        <v>1</v>
      </c>
      <c r="P5" s="74">
        <v>2</v>
      </c>
      <c r="Q5" s="74">
        <v>3</v>
      </c>
      <c r="R5" s="74">
        <v>4</v>
      </c>
      <c r="S5" s="74">
        <v>5</v>
      </c>
      <c r="T5" s="74">
        <v>6</v>
      </c>
      <c r="U5" s="33">
        <v>7</v>
      </c>
      <c r="V5" s="33">
        <v>8</v>
      </c>
      <c r="W5" s="33">
        <v>9</v>
      </c>
      <c r="X5" s="33">
        <v>10</v>
      </c>
      <c r="Y5" s="33">
        <v>11</v>
      </c>
      <c r="Z5" s="683"/>
    </row>
    <row r="6" spans="1:28">
      <c r="A6" s="217" t="s">
        <v>54</v>
      </c>
      <c r="B6" s="75" t="s">
        <v>55</v>
      </c>
      <c r="C6" s="126">
        <f>637.31/2+66+718.87/2+138.32/2+50.04+8.14+430.68+16.61+86.3+1451+70+26.64+8.9+11.56+58.26+55.33+75.47+46.96+126.9+12.46+17.79+7.99+5.33+119.13+77.16+47.31+C57+11.62+23.11+9.78+67.17</f>
        <v>8794.9465</v>
      </c>
      <c r="D6" s="145">
        <f>C6+C7+C8</f>
        <v>8794.9465</v>
      </c>
      <c r="E6" s="133"/>
      <c r="F6" s="13">
        <f>E6+E7+E8</f>
        <v>0</v>
      </c>
      <c r="G6" s="20">
        <f>360.9</f>
        <v>360.9</v>
      </c>
      <c r="H6" s="13">
        <f>G6+G7+G8</f>
        <v>360.9</v>
      </c>
      <c r="I6" s="9">
        <f>C6+E6+G6</f>
        <v>9155.8464999999997</v>
      </c>
      <c r="J6" s="387">
        <f>I6+I7+I8</f>
        <v>9155.8464999999997</v>
      </c>
      <c r="L6" s="351" t="s">
        <v>71</v>
      </c>
      <c r="M6" s="352">
        <f>75.52+4.01</f>
        <v>79.53</v>
      </c>
      <c r="O6" s="40">
        <f>Z6/2</f>
        <v>255.5</v>
      </c>
      <c r="P6" s="40">
        <f>O6</f>
        <v>255.5</v>
      </c>
      <c r="Q6" s="40">
        <v>25</v>
      </c>
      <c r="R6" s="40"/>
      <c r="S6" s="40"/>
      <c r="T6" s="40"/>
      <c r="U6" s="41"/>
      <c r="V6" s="41"/>
      <c r="W6" s="41"/>
      <c r="X6" s="41"/>
      <c r="Y6" s="41"/>
      <c r="Z6" s="397">
        <f>486+Q6</f>
        <v>511</v>
      </c>
    </row>
    <row r="7" spans="1:28">
      <c r="A7" s="219" t="s">
        <v>56</v>
      </c>
      <c r="B7" s="86" t="s">
        <v>57</v>
      </c>
      <c r="C7" s="17"/>
      <c r="D7" s="13"/>
      <c r="E7" s="145"/>
      <c r="F7" s="13"/>
      <c r="G7" s="17"/>
      <c r="H7" s="13"/>
      <c r="I7" s="9">
        <f t="shared" ref="I7:I17" si="0">C7+E7+G7</f>
        <v>0</v>
      </c>
      <c r="J7" s="387"/>
      <c r="L7" s="353" t="s">
        <v>74</v>
      </c>
      <c r="M7" s="354" t="s">
        <v>75</v>
      </c>
      <c r="O7" s="49">
        <v>411.46</v>
      </c>
      <c r="P7" s="50">
        <v>183.92</v>
      </c>
      <c r="Q7" s="50"/>
      <c r="R7" s="50"/>
      <c r="S7" s="50"/>
      <c r="T7" s="50"/>
      <c r="U7" s="51"/>
      <c r="V7" s="51"/>
      <c r="W7" s="51"/>
      <c r="X7" s="51"/>
      <c r="Y7" s="51"/>
      <c r="Z7" s="401">
        <f t="shared" ref="Z7" si="1">O7+P7+Q7+R7+S7+T7+Y7+U7+V7+W7+X7</f>
        <v>595.38</v>
      </c>
      <c r="AA7" s="1">
        <f>Z6-Z7</f>
        <v>-84.38</v>
      </c>
      <c r="AB7" s="1"/>
    </row>
    <row r="8" spans="1:28">
      <c r="A8" s="220" t="s">
        <v>58</v>
      </c>
      <c r="B8" s="76" t="s">
        <v>59</v>
      </c>
      <c r="C8" s="18"/>
      <c r="D8" s="14"/>
      <c r="E8" s="14"/>
      <c r="F8" s="14"/>
      <c r="G8" s="18"/>
      <c r="H8" s="14"/>
      <c r="I8" s="174">
        <f t="shared" si="0"/>
        <v>0</v>
      </c>
      <c r="J8" s="388"/>
      <c r="L8" s="355" t="s">
        <v>78</v>
      </c>
      <c r="M8" s="356">
        <v>13</v>
      </c>
      <c r="Z8" s="221"/>
    </row>
    <row r="9" spans="1:28">
      <c r="A9" s="217" t="s">
        <v>60</v>
      </c>
      <c r="B9" s="75" t="s">
        <v>61</v>
      </c>
      <c r="C9" s="153">
        <f>((O7+P7)*14-C13)*1.42</f>
        <v>6937.1543999999994</v>
      </c>
      <c r="D9" s="141">
        <f>C9+C10+C11+C13+C12</f>
        <v>16833.997152796801</v>
      </c>
      <c r="E9" s="172"/>
      <c r="F9" s="128">
        <f>E9+E10+E11+E13+E12</f>
        <v>0</v>
      </c>
      <c r="G9" s="139"/>
      <c r="H9" s="132">
        <f>G9+G10+G11+G13+G12</f>
        <v>0</v>
      </c>
      <c r="I9" s="9">
        <f t="shared" si="0"/>
        <v>6937.1543999999994</v>
      </c>
      <c r="J9" s="389">
        <f>I9+I10+I11+I13+I12</f>
        <v>16833.997152796801</v>
      </c>
      <c r="L9" s="357" t="s">
        <v>81</v>
      </c>
      <c r="M9" s="358">
        <v>12</v>
      </c>
      <c r="Z9" s="221"/>
    </row>
    <row r="10" spans="1:28">
      <c r="A10" s="219" t="s">
        <v>62</v>
      </c>
      <c r="B10" s="86" t="s">
        <v>63</v>
      </c>
      <c r="C10" s="126">
        <f>C9*0.2359</f>
        <v>1636.4747229599998</v>
      </c>
      <c r="D10" s="13"/>
      <c r="E10" s="145">
        <f>E9*0.2359</f>
        <v>0</v>
      </c>
      <c r="F10" s="83"/>
      <c r="G10" s="126">
        <f>G9*0.2359</f>
        <v>0</v>
      </c>
      <c r="H10" s="13"/>
      <c r="I10" s="9">
        <f t="shared" si="0"/>
        <v>1636.4747229599998</v>
      </c>
      <c r="J10" s="388"/>
      <c r="Z10" s="221"/>
    </row>
    <row r="11" spans="1:28">
      <c r="A11" s="219" t="s">
        <v>65</v>
      </c>
      <c r="B11" s="86" t="s">
        <v>66</v>
      </c>
      <c r="C11" s="126">
        <f>(C9+C10)*0.08</f>
        <v>685.89032983679999</v>
      </c>
      <c r="D11" s="13"/>
      <c r="E11" s="145">
        <f>(E9+E10)*0.08</f>
        <v>0</v>
      </c>
      <c r="F11" s="83"/>
      <c r="G11" s="126">
        <f>(G9+G10)*0.08</f>
        <v>0</v>
      </c>
      <c r="H11" s="13"/>
      <c r="I11" s="9">
        <f t="shared" si="0"/>
        <v>685.89032983679999</v>
      </c>
      <c r="J11" s="388"/>
      <c r="L11" s="674" t="s">
        <v>85</v>
      </c>
      <c r="M11" s="675"/>
      <c r="Z11" s="221"/>
    </row>
    <row r="12" spans="1:28">
      <c r="A12" s="222" t="s">
        <v>68</v>
      </c>
      <c r="B12" s="92" t="s">
        <v>21</v>
      </c>
      <c r="C12" s="127">
        <f>(C4)*0.07</f>
        <v>4124.4777000000004</v>
      </c>
      <c r="D12" s="133"/>
      <c r="E12" s="147">
        <f>(E13+E11+E10+E9)*0.07</f>
        <v>0</v>
      </c>
      <c r="F12" s="123"/>
      <c r="G12" s="127">
        <f>(G13+G11+G10+G9)*0.07</f>
        <v>0</v>
      </c>
      <c r="H12" s="133"/>
      <c r="I12" s="9">
        <f t="shared" si="0"/>
        <v>4124.4777000000004</v>
      </c>
      <c r="J12" s="388"/>
      <c r="L12" s="359" t="s">
        <v>50</v>
      </c>
      <c r="M12" s="360">
        <v>9685.85</v>
      </c>
      <c r="Z12" s="221"/>
    </row>
    <row r="13" spans="1:28">
      <c r="A13" s="219" t="s">
        <v>69</v>
      </c>
      <c r="B13" s="86" t="s">
        <v>70</v>
      </c>
      <c r="C13" s="130">
        <f>12*5*50+9*50</f>
        <v>3450</v>
      </c>
      <c r="D13" s="134"/>
      <c r="E13" s="164"/>
      <c r="F13" s="125"/>
      <c r="G13" s="140"/>
      <c r="H13" s="134"/>
      <c r="I13" s="174">
        <f t="shared" si="0"/>
        <v>3450</v>
      </c>
      <c r="J13" s="390"/>
      <c r="L13" s="361" t="s">
        <v>53</v>
      </c>
      <c r="M13" s="362">
        <f>I6+I7</f>
        <v>9155.8464999999997</v>
      </c>
      <c r="Z13" s="221"/>
    </row>
    <row r="14" spans="1:28">
      <c r="A14" s="223" t="s">
        <v>72</v>
      </c>
      <c r="B14" s="75" t="s">
        <v>73</v>
      </c>
      <c r="C14" s="126">
        <v>2184.1999999999998</v>
      </c>
      <c r="D14" s="13">
        <f>C14+C17+C15</f>
        <v>4344</v>
      </c>
      <c r="E14" s="145"/>
      <c r="F14" s="13">
        <f>E14+E17+E15</f>
        <v>0</v>
      </c>
      <c r="G14" s="17"/>
      <c r="H14" s="13">
        <f>G14+G17+G15</f>
        <v>0</v>
      </c>
      <c r="I14" s="9">
        <f t="shared" si="0"/>
        <v>2184.1999999999998</v>
      </c>
      <c r="J14" s="388">
        <f>I14+I17+I15+I16</f>
        <v>4344</v>
      </c>
      <c r="Z14" s="221"/>
    </row>
    <row r="15" spans="1:28" ht="29.25" customHeight="1">
      <c r="A15" s="224" t="s">
        <v>76</v>
      </c>
      <c r="B15" s="86" t="s">
        <v>77</v>
      </c>
      <c r="C15" s="17">
        <v>1487.52</v>
      </c>
      <c r="D15" s="13"/>
      <c r="E15" s="133"/>
      <c r="F15" s="13"/>
      <c r="G15" s="20"/>
      <c r="H15" s="13"/>
      <c r="I15" s="9">
        <f t="shared" si="0"/>
        <v>1487.52</v>
      </c>
      <c r="J15" s="388"/>
      <c r="L15" s="651" t="s">
        <v>89</v>
      </c>
      <c r="M15" s="652"/>
      <c r="Z15" s="221"/>
    </row>
    <row r="16" spans="1:28" ht="26.25" customHeight="1">
      <c r="A16" s="224" t="s">
        <v>232</v>
      </c>
      <c r="B16" s="86" t="s">
        <v>140</v>
      </c>
      <c r="C16" s="17"/>
      <c r="D16" s="13"/>
      <c r="E16" s="133"/>
      <c r="F16" s="13"/>
      <c r="G16" s="20"/>
      <c r="H16" s="13"/>
      <c r="I16" s="9"/>
      <c r="J16" s="388"/>
      <c r="L16" s="359" t="s">
        <v>50</v>
      </c>
      <c r="M16" s="360">
        <f>14324.16</f>
        <v>14324.16</v>
      </c>
      <c r="Z16" s="221"/>
    </row>
    <row r="17" spans="1:26">
      <c r="A17" s="219" t="s">
        <v>79</v>
      </c>
      <c r="B17" s="86" t="s">
        <v>80</v>
      </c>
      <c r="C17" s="17">
        <f>162.72+44.72+16.27+11.09+6.66+4.7+35.46/2+37.87+37.87+37.83+6.68*2+6.65+6.67*2+9.97+6.61+37.05+38.04+89.5+80.3</f>
        <v>672.28</v>
      </c>
      <c r="D17" s="13"/>
      <c r="E17" s="145"/>
      <c r="F17" s="13"/>
      <c r="G17" s="17"/>
      <c r="H17" s="13"/>
      <c r="I17" s="9">
        <f t="shared" si="0"/>
        <v>672.28</v>
      </c>
      <c r="J17" s="388"/>
      <c r="L17" s="363" t="s">
        <v>53</v>
      </c>
      <c r="M17" s="364">
        <f>I9+I10+I11+I13</f>
        <v>12709.5194527968</v>
      </c>
      <c r="Z17" s="221"/>
    </row>
    <row r="18" spans="1:26">
      <c r="A18" s="391" t="s">
        <v>82</v>
      </c>
      <c r="B18" s="344" t="s">
        <v>83</v>
      </c>
      <c r="C18" s="345">
        <f>C4-C5</f>
        <v>28948.166347203201</v>
      </c>
      <c r="D18" s="346">
        <f>C18/C4</f>
        <v>0.49130381873666673</v>
      </c>
      <c r="E18" s="347">
        <f>E4-E5</f>
        <v>0</v>
      </c>
      <c r="F18" s="346" t="e">
        <f>E18/E4</f>
        <v>#DIV/0!</v>
      </c>
      <c r="G18" s="345">
        <f>G4-G5</f>
        <v>-360.9</v>
      </c>
      <c r="H18" s="346" t="e">
        <f>G18/G4</f>
        <v>#DIV/0!</v>
      </c>
      <c r="I18" s="348">
        <f>I4-I5</f>
        <v>28587.266347203204</v>
      </c>
      <c r="J18" s="392">
        <f>I18/I4</f>
        <v>0.48517867954631544</v>
      </c>
      <c r="L18" s="375" t="s">
        <v>322</v>
      </c>
      <c r="M18" s="376">
        <f>M16/(Z6-Q6)</f>
        <v>29.473580246913581</v>
      </c>
      <c r="Z18" s="221"/>
    </row>
    <row r="19" spans="1:26">
      <c r="A19" s="393" t="s">
        <v>142</v>
      </c>
      <c r="B19" s="339" t="s">
        <v>143</v>
      </c>
      <c r="C19" s="340"/>
      <c r="D19" s="341"/>
      <c r="E19" s="342"/>
      <c r="F19" s="341"/>
      <c r="G19" s="342"/>
      <c r="H19" s="341"/>
      <c r="I19" s="343">
        <f>M4-40247.46</f>
        <v>16709.86</v>
      </c>
      <c r="J19" s="394">
        <f>I19/M4</f>
        <v>0.2933751096435015</v>
      </c>
      <c r="L19" s="377" t="s">
        <v>141</v>
      </c>
      <c r="M19" s="378">
        <f>(I9+I10+I11+I13)/Z7</f>
        <v>21.346903578885417</v>
      </c>
      <c r="Z19" s="221"/>
    </row>
    <row r="20" spans="1:26">
      <c r="A20" s="225"/>
      <c r="B20" s="98"/>
      <c r="C20" s="98"/>
      <c r="D20" s="98"/>
      <c r="E20" s="98"/>
      <c r="F20" s="98"/>
      <c r="G20" s="98"/>
      <c r="H20" s="98"/>
      <c r="J20" s="221"/>
      <c r="Z20" s="221"/>
    </row>
    <row r="21" spans="1:26">
      <c r="A21" s="395" t="s">
        <v>86</v>
      </c>
      <c r="B21" s="412" t="s">
        <v>144</v>
      </c>
      <c r="C21" s="336" t="s">
        <v>323</v>
      </c>
      <c r="E21" s="101"/>
      <c r="F21" s="101"/>
      <c r="G21" s="101"/>
      <c r="H21" s="101"/>
      <c r="J21" s="221"/>
      <c r="L21" s="649" t="s">
        <v>100</v>
      </c>
      <c r="M21" s="650"/>
      <c r="Z21" s="221"/>
    </row>
    <row r="22" spans="1:26" ht="15" customHeight="1">
      <c r="A22" s="226" t="s">
        <v>88</v>
      </c>
      <c r="B22" s="383">
        <f>J6/I5</f>
        <v>0.30183601540241423</v>
      </c>
      <c r="C22" s="380">
        <f>M12/40247.46</f>
        <v>0.24065742285351674</v>
      </c>
      <c r="E22" s="103"/>
      <c r="F22" s="103"/>
      <c r="G22" s="103"/>
      <c r="H22" s="103"/>
      <c r="J22" s="221"/>
      <c r="L22" s="367" t="s">
        <v>50</v>
      </c>
      <c r="M22" s="368">
        <f>Z6/M6</f>
        <v>6.4252483339620268</v>
      </c>
      <c r="O22" s="631" t="s">
        <v>90</v>
      </c>
      <c r="P22" s="632"/>
      <c r="Q22" s="632"/>
      <c r="R22" s="632"/>
      <c r="S22" s="632"/>
      <c r="T22" s="632"/>
      <c r="U22" s="632"/>
      <c r="V22" s="632"/>
      <c r="W22" s="632"/>
      <c r="X22" s="632"/>
      <c r="Y22" s="633"/>
      <c r="Z22" s="324"/>
    </row>
    <row r="23" spans="1:26" ht="20.25" customHeight="1">
      <c r="A23" s="227" t="s">
        <v>89</v>
      </c>
      <c r="B23" s="383">
        <f>J9/I5</f>
        <v>0.55495760265266281</v>
      </c>
      <c r="C23" s="380">
        <f>M16/40247.46</f>
        <v>0.35590221097182284</v>
      </c>
      <c r="E23" s="103"/>
      <c r="F23" s="103"/>
      <c r="G23" s="103"/>
      <c r="H23" s="103"/>
      <c r="J23" s="221"/>
      <c r="L23" s="369" t="s">
        <v>53</v>
      </c>
      <c r="M23" s="402">
        <f>Z7/M6</f>
        <v>7.4862316107129381</v>
      </c>
      <c r="O23" s="188" t="s">
        <v>397</v>
      </c>
      <c r="P23" s="188" t="s">
        <v>398</v>
      </c>
      <c r="Q23" s="188"/>
      <c r="R23" s="160"/>
      <c r="S23" s="160"/>
      <c r="T23" s="160"/>
      <c r="U23" s="160"/>
      <c r="V23" s="160"/>
      <c r="W23" s="160"/>
      <c r="X23" s="28"/>
      <c r="Y23" s="28"/>
      <c r="Z23" s="684" t="s">
        <v>49</v>
      </c>
    </row>
    <row r="24" spans="1:26">
      <c r="A24" s="228" t="s">
        <v>91</v>
      </c>
      <c r="B24" s="384">
        <f>J14/I5</f>
        <v>0.14320638194492313</v>
      </c>
      <c r="C24" s="381">
        <f>17487.45/40247.46</f>
        <v>0.43449822672039429</v>
      </c>
      <c r="E24" s="103"/>
      <c r="F24" s="103"/>
      <c r="G24" s="103"/>
      <c r="H24" s="103"/>
      <c r="J24" s="221"/>
      <c r="L24" s="365" t="s">
        <v>146</v>
      </c>
      <c r="M24" s="366">
        <f>M23*M19</f>
        <v>159.80786436309316</v>
      </c>
      <c r="O24" s="66">
        <v>1</v>
      </c>
      <c r="P24" s="66">
        <v>2</v>
      </c>
      <c r="Q24" s="66">
        <v>3</v>
      </c>
      <c r="R24" s="66">
        <v>4</v>
      </c>
      <c r="S24" s="66">
        <v>5</v>
      </c>
      <c r="T24" s="66">
        <v>6</v>
      </c>
      <c r="U24" s="66">
        <v>7</v>
      </c>
      <c r="V24" s="66">
        <v>8</v>
      </c>
      <c r="W24" s="66">
        <v>9</v>
      </c>
      <c r="X24" s="66">
        <v>10</v>
      </c>
      <c r="Y24" s="66">
        <v>11</v>
      </c>
      <c r="Z24" s="685"/>
    </row>
    <row r="25" spans="1:26">
      <c r="A25" s="229"/>
      <c r="J25" s="221"/>
      <c r="O25" s="69">
        <f>Z25/2</f>
        <v>4150</v>
      </c>
      <c r="P25" s="69">
        <f>O25</f>
        <v>4150</v>
      </c>
      <c r="Q25" s="69"/>
      <c r="R25" s="69"/>
      <c r="S25" s="69"/>
      <c r="T25" s="69"/>
      <c r="U25" s="69"/>
      <c r="V25" s="69"/>
      <c r="W25" s="69"/>
      <c r="X25" s="69"/>
      <c r="Y25" s="69"/>
      <c r="Z25" s="326">
        <f>5100+3200</f>
        <v>8300</v>
      </c>
    </row>
    <row r="26" spans="1:26">
      <c r="A26" s="229"/>
      <c r="J26" s="221"/>
      <c r="L26" s="651" t="s">
        <v>90</v>
      </c>
      <c r="M26" s="652"/>
      <c r="O26" s="71">
        <f>2184+1097.52</f>
        <v>3281.52</v>
      </c>
      <c r="P26" s="72">
        <f>779.88/2</f>
        <v>389.94</v>
      </c>
      <c r="Q26" s="72"/>
      <c r="R26" s="72"/>
      <c r="S26" s="72"/>
      <c r="T26" s="72"/>
      <c r="U26" s="72"/>
      <c r="V26" s="72"/>
      <c r="W26" s="72"/>
      <c r="X26" s="72"/>
      <c r="Y26" s="72"/>
      <c r="Z26" s="398">
        <f t="shared" ref="Z26" si="2">O26+P26+Q26+R26+S26+T26+Y26+U26+V26+W26+X26</f>
        <v>3671.46</v>
      </c>
    </row>
    <row r="27" spans="1:26">
      <c r="A27" s="229"/>
      <c r="J27" s="221"/>
      <c r="L27" s="359" t="s">
        <v>50</v>
      </c>
      <c r="M27" s="360">
        <f>Z25</f>
        <v>8300</v>
      </c>
      <c r="Z27" s="221"/>
    </row>
    <row r="28" spans="1:26">
      <c r="A28" s="229"/>
      <c r="J28" s="221"/>
      <c r="L28" s="363" t="s">
        <v>53</v>
      </c>
      <c r="M28" s="364">
        <f>Z26</f>
        <v>3671.46</v>
      </c>
      <c r="Z28" s="221"/>
    </row>
    <row r="29" spans="1:26" ht="15" customHeight="1">
      <c r="A29" s="229"/>
      <c r="J29" s="221"/>
      <c r="L29" s="365" t="s">
        <v>147</v>
      </c>
      <c r="M29" s="366">
        <f>(I14+I15)/Z7</f>
        <v>6.167019382579193</v>
      </c>
      <c r="Z29" s="221"/>
    </row>
    <row r="30" spans="1:26">
      <c r="A30" s="229"/>
      <c r="J30" s="221"/>
      <c r="Z30" s="221"/>
    </row>
    <row r="31" spans="1:26">
      <c r="A31" s="396"/>
      <c r="J31" s="221"/>
      <c r="L31" s="189" t="s">
        <v>92</v>
      </c>
      <c r="M31" s="136"/>
      <c r="Z31" s="221"/>
    </row>
    <row r="32" spans="1:26">
      <c r="A32" s="226"/>
      <c r="B32" s="379"/>
      <c r="J32" s="221"/>
      <c r="L32" s="10" t="s">
        <v>93</v>
      </c>
      <c r="M32" s="136"/>
      <c r="Z32" s="221"/>
    </row>
    <row r="33" spans="1:26">
      <c r="A33" s="227"/>
      <c r="B33" s="379"/>
      <c r="J33" s="221"/>
      <c r="Z33" s="221"/>
    </row>
    <row r="34" spans="1:26">
      <c r="A34" s="227"/>
      <c r="B34" s="379"/>
      <c r="J34" s="221"/>
      <c r="L34" s="621" t="s">
        <v>94</v>
      </c>
      <c r="M34" s="622"/>
      <c r="Z34" s="221"/>
    </row>
    <row r="35" spans="1:26">
      <c r="A35" s="229"/>
      <c r="J35" s="221"/>
      <c r="L35" s="623">
        <v>45342</v>
      </c>
      <c r="M35" s="624"/>
      <c r="Z35" s="221"/>
    </row>
    <row r="36" spans="1:26" ht="15.75" customHeight="1">
      <c r="A36" s="230"/>
      <c r="B36" s="231"/>
      <c r="C36" s="231"/>
      <c r="D36" s="231"/>
      <c r="E36" s="231"/>
      <c r="F36" s="231"/>
      <c r="G36" s="231"/>
      <c r="H36" s="231"/>
      <c r="I36" s="231"/>
      <c r="J36" s="232"/>
      <c r="K36" s="231"/>
      <c r="L36" s="745"/>
      <c r="M36" s="746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2"/>
    </row>
    <row r="38" spans="1:26" ht="41.25">
      <c r="C38" s="197" t="s">
        <v>387</v>
      </c>
      <c r="D38" s="197" t="s">
        <v>388</v>
      </c>
    </row>
    <row r="39" spans="1:26">
      <c r="A39" s="314" t="s">
        <v>389</v>
      </c>
      <c r="B39" s="199">
        <v>638633.98</v>
      </c>
      <c r="C39">
        <f>ROUND(B39*0.5,2)</f>
        <v>319316.99</v>
      </c>
      <c r="D39" s="1">
        <f>B39-C39</f>
        <v>319316.99</v>
      </c>
      <c r="I39">
        <f>C39+D39</f>
        <v>638633.98</v>
      </c>
    </row>
    <row r="40" spans="1:26">
      <c r="A40" s="180" t="s">
        <v>390</v>
      </c>
      <c r="B40" s="1">
        <v>11.2125</v>
      </c>
    </row>
    <row r="41" spans="1:26">
      <c r="A41" s="180" t="s">
        <v>391</v>
      </c>
      <c r="B41" s="1">
        <f>ROUND(B39/B40,2)</f>
        <v>56957.32</v>
      </c>
      <c r="C41">
        <f>ROUND(B41*0.5,2)</f>
        <v>28478.66</v>
      </c>
      <c r="D41" s="1">
        <f>B41-C41</f>
        <v>28478.66</v>
      </c>
      <c r="I41">
        <f t="shared" ref="I41" si="3">C41+D41</f>
        <v>56957.32</v>
      </c>
      <c r="K41" s="1"/>
      <c r="L41">
        <v>660653.02</v>
      </c>
    </row>
    <row r="42" spans="1:26">
      <c r="A42" s="180" t="s">
        <v>399</v>
      </c>
      <c r="B42" s="1">
        <f>660653.02-B39</f>
        <v>22019.040000000037</v>
      </c>
      <c r="L42" s="1">
        <f>L41/B40</f>
        <v>58921.11661092531</v>
      </c>
    </row>
    <row r="43" spans="1:26">
      <c r="A43" s="180" t="s">
        <v>400</v>
      </c>
      <c r="B43" s="335">
        <f>B42/B40</f>
        <v>1963.7939799331136</v>
      </c>
      <c r="C43" s="1">
        <f>B41+B43</f>
        <v>58921.113979933114</v>
      </c>
      <c r="L43">
        <f>56957.32+1963.79</f>
        <v>58921.11</v>
      </c>
    </row>
    <row r="45" spans="1:26">
      <c r="A45" t="s">
        <v>275</v>
      </c>
      <c r="B45">
        <v>66017351</v>
      </c>
      <c r="C45">
        <v>3336.24</v>
      </c>
    </row>
    <row r="46" spans="1:26">
      <c r="B46">
        <v>66041252</v>
      </c>
      <c r="C46">
        <v>2551.14</v>
      </c>
    </row>
    <row r="47" spans="1:26">
      <c r="B47">
        <v>66041245</v>
      </c>
      <c r="C47">
        <v>6229.35</v>
      </c>
    </row>
    <row r="48" spans="1:26">
      <c r="B48">
        <v>66028739</v>
      </c>
      <c r="C48">
        <v>1179.5999999999999</v>
      </c>
    </row>
    <row r="49" spans="1:3">
      <c r="B49">
        <v>66052358</v>
      </c>
      <c r="C49">
        <v>4861.41</v>
      </c>
    </row>
    <row r="50" spans="1:3">
      <c r="B50">
        <v>66153842</v>
      </c>
      <c r="C50">
        <v>451.84</v>
      </c>
    </row>
    <row r="51" spans="1:3">
      <c r="B51">
        <v>66314568</v>
      </c>
      <c r="C51">
        <v>3566.96</v>
      </c>
    </row>
    <row r="52" spans="1:3">
      <c r="A52" t="s">
        <v>401</v>
      </c>
      <c r="B52">
        <v>3672</v>
      </c>
      <c r="C52">
        <v>10000</v>
      </c>
    </row>
    <row r="53" spans="1:3">
      <c r="B53">
        <v>3673</v>
      </c>
      <c r="C53">
        <v>10229</v>
      </c>
    </row>
    <row r="55" spans="1:3">
      <c r="A55" t="s">
        <v>393</v>
      </c>
      <c r="B55">
        <v>141972695</v>
      </c>
      <c r="C55">
        <v>13817.31</v>
      </c>
    </row>
    <row r="56" spans="1:3">
      <c r="C56">
        <f>SUM(C45:C55)</f>
        <v>56222.849999999991</v>
      </c>
    </row>
    <row r="57" spans="1:3">
      <c r="C57">
        <f>C56*0.09</f>
        <v>5060.0564999999988</v>
      </c>
    </row>
  </sheetData>
  <mergeCells count="18">
    <mergeCell ref="Z23:Z24"/>
    <mergeCell ref="B1:Z1"/>
    <mergeCell ref="Z4:Z5"/>
    <mergeCell ref="O22:Y22"/>
    <mergeCell ref="A2:J2"/>
    <mergeCell ref="L2:Z2"/>
    <mergeCell ref="C3:D3"/>
    <mergeCell ref="E3:F3"/>
    <mergeCell ref="I3:J3"/>
    <mergeCell ref="L3:M3"/>
    <mergeCell ref="O3:Y3"/>
    <mergeCell ref="G3:H3"/>
    <mergeCell ref="L34:M34"/>
    <mergeCell ref="L35:M36"/>
    <mergeCell ref="L26:M26"/>
    <mergeCell ref="L15:M15"/>
    <mergeCell ref="L11:M11"/>
    <mergeCell ref="L21:M21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223913-A859-43C9-8A27-35198EC8E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Office_Franzoni &amp; Co</dc:creator>
  <cp:keywords/>
  <dc:description/>
  <cp:lastModifiedBy>Office_Franzoni &amp; Co</cp:lastModifiedBy>
  <cp:revision/>
  <dcterms:created xsi:type="dcterms:W3CDTF">2021-01-14T07:32:13Z</dcterms:created>
  <dcterms:modified xsi:type="dcterms:W3CDTF">2025-05-13T07:56:33Z</dcterms:modified>
  <cp:category/>
  <cp:contentStatus/>
</cp:coreProperties>
</file>