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5.xml" ContentType="application/vnd.openxmlformats-officedocument.drawing+xml"/>
  <Override PartName="/xl/charts/chart1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6.xml" ContentType="application/vnd.openxmlformats-officedocument.drawing+xml"/>
  <Override PartName="/xl/charts/chart2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7.xml" ContentType="application/vnd.openxmlformats-officedocument.drawing+xml"/>
  <Override PartName="/xl/charts/chart28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8.xml" ContentType="application/vnd.openxmlformats-officedocument.drawing+xml"/>
  <Override PartName="/xl/charts/chart3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9.xml" ContentType="application/vnd.openxmlformats-officedocument.drawing+xml"/>
  <Override PartName="/xl/charts/chart3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10.xml" ContentType="application/vnd.openxmlformats-officedocument.drawing+xml"/>
  <Override PartName="/xl/charts/chart43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drawings/drawing11.xml" ContentType="application/vnd.openxmlformats-officedocument.drawing+xml"/>
  <Override PartName="/xl/charts/chart48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12.xml" ContentType="application/vnd.openxmlformats-officedocument.drawing+xml"/>
  <Override PartName="/xl/charts/chart5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drawings/drawing13.xml" ContentType="application/vnd.openxmlformats-officedocument.drawing+xml"/>
  <Override PartName="/xl/charts/chart58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drawings/drawing14.xml" ContentType="application/vnd.openxmlformats-officedocument.drawing+xml"/>
  <Override PartName="/xl/charts/chart63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15.xml" ContentType="application/vnd.openxmlformats-officedocument.drawing+xml"/>
  <Override PartName="/xl/charts/chart6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69.xml" ContentType="application/vnd.openxmlformats-officedocument.drawingml.chart+xml"/>
  <Override PartName="/xl/drawings/drawing16.xml" ContentType="application/vnd.openxmlformats-officedocument.drawing+xml"/>
  <Override PartName="/xl/charts/chart7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drawings/drawing17.xml" ContentType="application/vnd.openxmlformats-officedocument.drawing+xml"/>
  <Override PartName="/xl/charts/chart75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drawings/drawing18.xml" ContentType="application/vnd.openxmlformats-officedocument.drawing+xml"/>
  <Override PartName="/xl/charts/chart80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drawings/drawing19.xml" ContentType="application/vnd.openxmlformats-officedocument.drawing+xml"/>
  <Override PartName="/xl/charts/chart85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drawings/drawing20.xml" ContentType="application/vnd.openxmlformats-officedocument.drawing+xml"/>
  <Override PartName="/xl/charts/chart90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91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21.xml" ContentType="application/vnd.openxmlformats-officedocument.drawing+xml"/>
  <Override PartName="/xl/charts/chart92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93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94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95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96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22.xml" ContentType="application/vnd.openxmlformats-officedocument.drawing+xml"/>
  <Override PartName="/xl/charts/chart97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23.xml" ContentType="application/vnd.openxmlformats-officedocument.drawing+xml"/>
  <Override PartName="/xl/charts/chart98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99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100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24.xml" ContentType="application/vnd.openxmlformats-officedocument.drawing+xml"/>
  <Override PartName="/xl/charts/chart101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102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103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104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105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25.xml" ContentType="application/vnd.openxmlformats-officedocument.drawing+xml"/>
  <Override PartName="/xl/charts/chart106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26.xml" ContentType="application/vnd.openxmlformats-officedocument.drawing+xml"/>
  <Override PartName="/xl/charts/chart107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27.xml" ContentType="application/vnd.openxmlformats-officedocument.drawing+xml"/>
  <Override PartName="/xl/charts/chart108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109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110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111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112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28.xml" ContentType="application/vnd.openxmlformats-officedocument.drawing+xml"/>
  <Override PartName="/xl/charts/chart113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114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115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116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117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29.xml" ContentType="application/vnd.openxmlformats-officedocument.drawing+xml"/>
  <Override PartName="/xl/charts/chart118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119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120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121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122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anzonicocom-my.sharepoint.com/personal/office_franzoni-co_com/Documents/Finansial reports/"/>
    </mc:Choice>
  </mc:AlternateContent>
  <xr:revisionPtr revIDLastSave="11979" documentId="14_{0D7E8083-AA1D-4DCB-B49B-4A6FCA5B1339}" xr6:coauthVersionLast="47" xr6:coauthVersionMax="47" xr10:uidLastSave="{04D3BF10-34AE-4977-98C5-2CB65C7CBB35}"/>
  <bookViews>
    <workbookView xWindow="-120" yWindow="-120" windowWidth="29040" windowHeight="17640" firstSheet="1" xr2:uid="{BE33F274-B6DD-43AB-8286-A40D29E50EEB}"/>
  </bookViews>
  <sheets>
    <sheet name="Total 2023" sheetId="50" r:id="rId1"/>
    <sheet name="Profit " sheetId="48" r:id="rId2"/>
    <sheet name="29" sheetId="53" r:id="rId3"/>
    <sheet name="28" sheetId="52" r:id="rId4"/>
    <sheet name="27" sheetId="34" r:id="rId5"/>
    <sheet name="FAL (2)" sheetId="54" r:id="rId6"/>
    <sheet name="BER2" sheetId="41" r:id="rId7"/>
    <sheet name="SIEC" sheetId="51" r:id="rId8"/>
    <sheet name="TAL2" sheetId="49" r:id="rId9"/>
    <sheet name="CHA" sheetId="47" r:id="rId10"/>
    <sheet name="AMB" sheetId="39" r:id="rId11"/>
    <sheet name="SIE" sheetId="46" r:id="rId12"/>
    <sheet name="BOCH" sheetId="37" r:id="rId13"/>
    <sheet name="AUH" sheetId="44" r:id="rId14"/>
    <sheet name="FAL" sheetId="43" r:id="rId15"/>
    <sheet name="DOR" sheetId="42" r:id="rId16"/>
    <sheet name="OLD" sheetId="40" r:id="rId17"/>
    <sheet name="HAL" sheetId="38" r:id="rId18"/>
    <sheet name="MEM" sheetId="36" r:id="rId19"/>
    <sheet name="ARN" sheetId="20" r:id="rId20"/>
    <sheet name="NEU" sheetId="28" r:id="rId21"/>
    <sheet name="TAL" sheetId="33" r:id="rId22"/>
    <sheet name="MAL" sheetId="31" r:id="rId23"/>
    <sheet name="BER" sheetId="32" r:id="rId24"/>
    <sheet name="OFF" sheetId="30" r:id="rId25"/>
    <sheet name="ANT" sheetId="22" r:id="rId26"/>
    <sheet name="SW" sheetId="21" r:id="rId27"/>
    <sheet name="SAR2" sheetId="18" r:id="rId28"/>
    <sheet name="SAR" sheetId="17" r:id="rId29"/>
    <sheet name="MUN2" sheetId="16" r:id="rId30"/>
    <sheet name="FUR" sheetId="4" r:id="rId31"/>
  </sheets>
  <definedNames>
    <definedName name="_xlnm._FilterDatabase" localSheetId="1" hidden="1">'Profit '!$A$1:$F$27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41" l="1"/>
  <c r="AB11" i="50"/>
  <c r="AA11" i="50"/>
  <c r="Z11" i="50"/>
  <c r="Y11" i="50"/>
  <c r="X11" i="50"/>
  <c r="W11" i="50"/>
  <c r="V11" i="50"/>
  <c r="U11" i="50"/>
  <c r="T11" i="50"/>
  <c r="S11" i="50"/>
  <c r="R11" i="50"/>
  <c r="Q11" i="50"/>
  <c r="P11" i="50"/>
  <c r="O11" i="50"/>
  <c r="N11" i="50"/>
  <c r="M11" i="50"/>
  <c r="L11" i="50"/>
  <c r="K11" i="50"/>
  <c r="J11" i="50"/>
  <c r="I11" i="50"/>
  <c r="H11" i="50"/>
  <c r="G11" i="50"/>
  <c r="F11" i="50"/>
  <c r="E11" i="50"/>
  <c r="D11" i="50"/>
  <c r="C11" i="50"/>
  <c r="B11" i="50"/>
  <c r="F9" i="37"/>
  <c r="C68" i="37"/>
  <c r="C62" i="37"/>
  <c r="C36" i="37"/>
  <c r="C81" i="37"/>
  <c r="C77" i="37"/>
  <c r="C71" i="37"/>
  <c r="C66" i="37"/>
  <c r="C61" i="37"/>
  <c r="C57" i="37"/>
  <c r="C53" i="37"/>
  <c r="C43" i="37"/>
  <c r="C39" i="37"/>
  <c r="C16" i="37"/>
  <c r="C15" i="37"/>
  <c r="E8" i="37"/>
  <c r="Y27" i="37"/>
  <c r="C8" i="37"/>
  <c r="E8" i="41"/>
  <c r="E8" i="51"/>
  <c r="C8" i="46"/>
  <c r="AA10" i="54"/>
  <c r="E7" i="49"/>
  <c r="Y11" i="41"/>
  <c r="AA11" i="43"/>
  <c r="E6" i="51"/>
  <c r="AF22" i="51"/>
  <c r="E14" i="51"/>
  <c r="AN2" i="38"/>
  <c r="AP2" i="40"/>
  <c r="AP2" i="42"/>
  <c r="G15" i="47"/>
  <c r="C15" i="54"/>
  <c r="AN3" i="38"/>
  <c r="AP3" i="40"/>
  <c r="AP3" i="42"/>
  <c r="E8" i="39"/>
  <c r="E13" i="51"/>
  <c r="E9" i="51"/>
  <c r="AG7" i="51"/>
  <c r="C13" i="54"/>
  <c r="C9" i="54"/>
  <c r="AF7" i="54"/>
  <c r="AE7" i="54"/>
  <c r="AD7" i="54"/>
  <c r="E9" i="49"/>
  <c r="E13" i="49"/>
  <c r="AG7" i="49"/>
  <c r="AG7" i="41"/>
  <c r="E9" i="41"/>
  <c r="AA54" i="47"/>
  <c r="C16" i="54"/>
  <c r="E8" i="49"/>
  <c r="E7" i="41"/>
  <c r="E16" i="51"/>
  <c r="E16" i="39"/>
  <c r="AF22" i="39"/>
  <c r="E14" i="39"/>
  <c r="E15" i="39"/>
  <c r="AI22" i="41"/>
  <c r="E14" i="41"/>
  <c r="AG22" i="49"/>
  <c r="E14" i="49"/>
  <c r="AH22" i="41"/>
  <c r="Y11" i="37"/>
  <c r="E12" i="41"/>
  <c r="E12" i="51"/>
  <c r="C12" i="51"/>
  <c r="E12" i="49"/>
  <c r="C12" i="49"/>
  <c r="C12" i="47"/>
  <c r="E12" i="39"/>
  <c r="C12" i="39"/>
  <c r="C12" i="46"/>
  <c r="E12" i="44"/>
  <c r="C12" i="44"/>
  <c r="C12" i="43"/>
  <c r="C12" i="42"/>
  <c r="E12" i="40"/>
  <c r="C12" i="40"/>
  <c r="E12" i="38"/>
  <c r="C12" i="38"/>
  <c r="C12" i="36"/>
  <c r="C12" i="20"/>
  <c r="G12" i="28"/>
  <c r="E12" i="28"/>
  <c r="C12" i="28"/>
  <c r="C12" i="33"/>
  <c r="E12" i="31"/>
  <c r="C12" i="31"/>
  <c r="E12" i="32"/>
  <c r="C12" i="32"/>
  <c r="I12" i="30"/>
  <c r="G12" i="30"/>
  <c r="E12" i="30"/>
  <c r="C12" i="30"/>
  <c r="E12" i="22"/>
  <c r="C12" i="22"/>
  <c r="C12" i="21"/>
  <c r="C12" i="18"/>
  <c r="E12" i="17"/>
  <c r="C12" i="17"/>
  <c r="G12" i="16"/>
  <c r="E12" i="16"/>
  <c r="C12" i="16"/>
  <c r="G12" i="4"/>
  <c r="E12" i="4"/>
  <c r="C12" i="4"/>
  <c r="Y5" i="51"/>
  <c r="AF22" i="49"/>
  <c r="G13" i="47"/>
  <c r="G9" i="47"/>
  <c r="E6" i="41"/>
  <c r="AI7" i="47"/>
  <c r="AH7" i="47"/>
  <c r="E16" i="49"/>
  <c r="E6" i="49"/>
  <c r="C8" i="54"/>
  <c r="E16" i="47"/>
  <c r="E6" i="39"/>
  <c r="C6" i="54"/>
  <c r="AE22" i="41"/>
  <c r="C14" i="41"/>
  <c r="G4" i="49"/>
  <c r="G65" i="47"/>
  <c r="AG22" i="41"/>
  <c r="C14" i="54"/>
  <c r="C6" i="41"/>
  <c r="C16" i="41"/>
  <c r="B42" i="49"/>
  <c r="B41" i="49"/>
  <c r="C6" i="51"/>
  <c r="C6" i="49"/>
  <c r="E15" i="41"/>
  <c r="C16" i="46"/>
  <c r="AB22" i="39"/>
  <c r="B10" i="48"/>
  <c r="C10" i="48"/>
  <c r="D10" i="48"/>
  <c r="E4" i="41"/>
  <c r="C16" i="51"/>
  <c r="AA8" i="50"/>
  <c r="V22" i="50"/>
  <c r="Y22" i="50"/>
  <c r="AA21" i="50"/>
  <c r="AA20" i="50"/>
  <c r="Z21" i="50"/>
  <c r="Z20" i="50"/>
  <c r="Y21" i="50"/>
  <c r="Y20" i="50"/>
  <c r="X21" i="50"/>
  <c r="X20" i="50"/>
  <c r="W21" i="50"/>
  <c r="W20" i="50"/>
  <c r="V21" i="50"/>
  <c r="V20" i="50"/>
  <c r="U21" i="50"/>
  <c r="AA4" i="50"/>
  <c r="AA3" i="50"/>
  <c r="AA2" i="50"/>
  <c r="AA22" i="50"/>
  <c r="A13" i="48"/>
  <c r="AA55" i="47"/>
  <c r="C4" i="54"/>
  <c r="AF7" i="41"/>
  <c r="AE7" i="41"/>
  <c r="AD7" i="41"/>
  <c r="AC7" i="41"/>
  <c r="AB7" i="41"/>
  <c r="AM7" i="41"/>
  <c r="C9" i="41"/>
  <c r="AF7" i="49"/>
  <c r="AE7" i="49"/>
  <c r="AD7" i="49"/>
  <c r="AC7" i="49"/>
  <c r="C4" i="51"/>
  <c r="C9" i="51"/>
  <c r="AB21" i="51"/>
  <c r="AF7" i="51"/>
  <c r="AE7" i="51"/>
  <c r="AB6" i="51"/>
  <c r="AD7" i="51"/>
  <c r="AC7" i="51"/>
  <c r="AB7" i="51"/>
  <c r="C7" i="41"/>
  <c r="C15" i="51"/>
  <c r="C10" i="54"/>
  <c r="C11" i="54" s="1"/>
  <c r="AO22" i="54"/>
  <c r="AA23" i="54" s="1"/>
  <c r="X22" i="54"/>
  <c r="AO21" i="54"/>
  <c r="AD21" i="54"/>
  <c r="X21" i="54"/>
  <c r="M21" i="54"/>
  <c r="I16" i="54"/>
  <c r="I15" i="54"/>
  <c r="H14" i="54"/>
  <c r="F14" i="54"/>
  <c r="I13" i="54"/>
  <c r="G10" i="54"/>
  <c r="G11" i="54" s="1"/>
  <c r="H9" i="54"/>
  <c r="I8" i="54"/>
  <c r="AO7" i="54"/>
  <c r="AA7" i="54"/>
  <c r="X7" i="54"/>
  <c r="I7" i="54"/>
  <c r="AD6" i="54"/>
  <c r="X6" i="54"/>
  <c r="H6" i="54"/>
  <c r="F6" i="54"/>
  <c r="G5" i="54"/>
  <c r="G17" i="54" s="1"/>
  <c r="H17" i="54" s="1"/>
  <c r="AA4" i="54"/>
  <c r="J4" i="54"/>
  <c r="C7" i="51"/>
  <c r="C15" i="41"/>
  <c r="E15" i="49"/>
  <c r="E65" i="47"/>
  <c r="C14" i="51"/>
  <c r="C8" i="41"/>
  <c r="C13" i="41"/>
  <c r="C13" i="51"/>
  <c r="E13" i="47"/>
  <c r="E9" i="47" s="1"/>
  <c r="E7" i="47"/>
  <c r="C16" i="47"/>
  <c r="I6" i="43"/>
  <c r="I7" i="43"/>
  <c r="I8" i="43"/>
  <c r="I9" i="43"/>
  <c r="I10" i="43"/>
  <c r="I11" i="43"/>
  <c r="I13" i="43"/>
  <c r="I14" i="43"/>
  <c r="I15" i="43"/>
  <c r="I16" i="43"/>
  <c r="I4" i="43"/>
  <c r="AH22" i="43"/>
  <c r="AH22" i="47"/>
  <c r="E14" i="47"/>
  <c r="C6" i="39"/>
  <c r="Y11" i="49"/>
  <c r="C16" i="49"/>
  <c r="I8" i="47"/>
  <c r="I16" i="47"/>
  <c r="E4" i="47"/>
  <c r="E12" i="47" s="1"/>
  <c r="G10" i="47"/>
  <c r="G66" i="47"/>
  <c r="G6" i="47" s="1"/>
  <c r="H14" i="47"/>
  <c r="G11" i="47"/>
  <c r="H6" i="47"/>
  <c r="E15" i="47"/>
  <c r="AD22" i="41"/>
  <c r="E66" i="47"/>
  <c r="E6" i="47" s="1"/>
  <c r="AM7" i="51"/>
  <c r="Z9" i="50" s="1"/>
  <c r="Z8" i="50"/>
  <c r="Y8" i="50"/>
  <c r="V9" i="50"/>
  <c r="V8" i="50"/>
  <c r="C15" i="47"/>
  <c r="I15" i="47" s="1"/>
  <c r="AB22" i="49"/>
  <c r="AD22" i="49"/>
  <c r="C15" i="49"/>
  <c r="AB22" i="51"/>
  <c r="AC22" i="41"/>
  <c r="AB22" i="41"/>
  <c r="O8" i="49"/>
  <c r="C14" i="47"/>
  <c r="I14" i="47" s="1"/>
  <c r="C8" i="39"/>
  <c r="C15" i="39"/>
  <c r="C16" i="39"/>
  <c r="C6" i="37"/>
  <c r="AA42" i="47"/>
  <c r="AO7" i="43"/>
  <c r="AB7" i="49"/>
  <c r="C9" i="49"/>
  <c r="C13" i="49"/>
  <c r="C9" i="39"/>
  <c r="C13" i="39"/>
  <c r="E9" i="43"/>
  <c r="C13" i="47"/>
  <c r="E13" i="43"/>
  <c r="AE22" i="47"/>
  <c r="C7" i="47"/>
  <c r="I7" i="47" s="1"/>
  <c r="Y22" i="41"/>
  <c r="C65" i="47"/>
  <c r="B68" i="43"/>
  <c r="AM22" i="41"/>
  <c r="AB6" i="41"/>
  <c r="AG22" i="47"/>
  <c r="D57" i="31"/>
  <c r="C57" i="31"/>
  <c r="B57" i="31"/>
  <c r="E56" i="31"/>
  <c r="F56" i="31" s="1"/>
  <c r="E55" i="31"/>
  <c r="D47" i="31"/>
  <c r="C47" i="31"/>
  <c r="D48" i="31"/>
  <c r="C48" i="31"/>
  <c r="E46" i="31"/>
  <c r="E47" i="31"/>
  <c r="E50" i="31"/>
  <c r="E45" i="31"/>
  <c r="AE67" i="43"/>
  <c r="AE66" i="43"/>
  <c r="AE73" i="43" s="1"/>
  <c r="AA73" i="43"/>
  <c r="Z62" i="43"/>
  <c r="V6" i="41"/>
  <c r="A64" i="43"/>
  <c r="A62" i="43"/>
  <c r="B61" i="43"/>
  <c r="E13" i="37"/>
  <c r="E9" i="37"/>
  <c r="Z51" i="43"/>
  <c r="Z50" i="43"/>
  <c r="Y4" i="49"/>
  <c r="Y22" i="49"/>
  <c r="Y19" i="49"/>
  <c r="AM6" i="49"/>
  <c r="Y13" i="49"/>
  <c r="Y22" i="51"/>
  <c r="Y19" i="51"/>
  <c r="AM6" i="51"/>
  <c r="Y13" i="51"/>
  <c r="Z4" i="50"/>
  <c r="Z3" i="50"/>
  <c r="Z2" i="50"/>
  <c r="V6" i="51"/>
  <c r="Y10" i="49"/>
  <c r="E37" i="49"/>
  <c r="E36" i="49"/>
  <c r="C38" i="49"/>
  <c r="D38" i="49"/>
  <c r="E38" i="49"/>
  <c r="B38" i="49"/>
  <c r="F37" i="49"/>
  <c r="F36" i="49"/>
  <c r="F38" i="49" s="1"/>
  <c r="D37" i="49"/>
  <c r="D36" i="49"/>
  <c r="C37" i="49"/>
  <c r="C36" i="49"/>
  <c r="A58" i="43"/>
  <c r="A56" i="43"/>
  <c r="D55" i="43"/>
  <c r="B55" i="43"/>
  <c r="C14" i="49"/>
  <c r="AB6" i="49"/>
  <c r="V6" i="49"/>
  <c r="C7" i="39"/>
  <c r="Y4" i="50"/>
  <c r="Y3" i="50"/>
  <c r="Y2" i="50"/>
  <c r="E8" i="44"/>
  <c r="E7" i="37"/>
  <c r="C14" i="39"/>
  <c r="AO6" i="47"/>
  <c r="AF21" i="39"/>
  <c r="AE21" i="39"/>
  <c r="AB21" i="39"/>
  <c r="AF6" i="39"/>
  <c r="AE6" i="39"/>
  <c r="AB6" i="39"/>
  <c r="AG6" i="47"/>
  <c r="AH6" i="47" s="1"/>
  <c r="AD6" i="47"/>
  <c r="E6" i="43"/>
  <c r="E15" i="37"/>
  <c r="C6" i="46"/>
  <c r="E16" i="43"/>
  <c r="C16" i="43"/>
  <c r="C4" i="43"/>
  <c r="AG22" i="43"/>
  <c r="C14" i="43"/>
  <c r="C15" i="43"/>
  <c r="X8" i="50"/>
  <c r="X3" i="50"/>
  <c r="X2" i="50"/>
  <c r="C7" i="43"/>
  <c r="C7" i="42"/>
  <c r="C8" i="42"/>
  <c r="C69" i="43"/>
  <c r="C6" i="43" s="1"/>
  <c r="C9" i="43"/>
  <c r="C9" i="37"/>
  <c r="E9" i="44"/>
  <c r="C9" i="46"/>
  <c r="C13" i="37"/>
  <c r="C13" i="46"/>
  <c r="E13" i="44"/>
  <c r="C13" i="43"/>
  <c r="C15" i="46"/>
  <c r="Y26" i="37"/>
  <c r="C14" i="37"/>
  <c r="AF22" i="43"/>
  <c r="A5" i="48"/>
  <c r="A10" i="48"/>
  <c r="W4" i="50"/>
  <c r="W8" i="50"/>
  <c r="W3" i="50"/>
  <c r="W2" i="50"/>
  <c r="G4" i="39"/>
  <c r="B5" i="48" s="1"/>
  <c r="D5" i="48" s="1"/>
  <c r="E4" i="39"/>
  <c r="C4" i="39"/>
  <c r="Y13" i="36"/>
  <c r="AC22" i="44"/>
  <c r="Y26" i="44"/>
  <c r="AE22" i="43"/>
  <c r="E16" i="44"/>
  <c r="C4" i="46"/>
  <c r="A50" i="43"/>
  <c r="B49" i="43"/>
  <c r="A52" i="43"/>
  <c r="AD22" i="43"/>
  <c r="C6" i="42"/>
  <c r="G8" i="28"/>
  <c r="E7" i="38"/>
  <c r="E7" i="44"/>
  <c r="AE23" i="38"/>
  <c r="AF23" i="38"/>
  <c r="E14" i="38"/>
  <c r="E8" i="38"/>
  <c r="E15" i="38"/>
  <c r="AA5" i="42"/>
  <c r="X8" i="42"/>
  <c r="AA5" i="40"/>
  <c r="X8" i="40"/>
  <c r="C9" i="44"/>
  <c r="C9" i="42"/>
  <c r="AI7" i="42"/>
  <c r="AD7" i="40"/>
  <c r="E9" i="40"/>
  <c r="E9" i="38"/>
  <c r="AD7" i="38"/>
  <c r="V3" i="50"/>
  <c r="V2" i="50"/>
  <c r="I4" i="42"/>
  <c r="C4" i="42"/>
  <c r="E8" i="40"/>
  <c r="C14" i="44"/>
  <c r="C15" i="44"/>
  <c r="C16" i="44"/>
  <c r="C6" i="44"/>
  <c r="C16" i="42"/>
  <c r="E16" i="40"/>
  <c r="E6" i="40"/>
  <c r="E6" i="38"/>
  <c r="E16" i="38"/>
  <c r="C6" i="38"/>
  <c r="C8" i="38"/>
  <c r="I4" i="40"/>
  <c r="AM22" i="44"/>
  <c r="Y23" i="44" s="1"/>
  <c r="G4" i="38"/>
  <c r="C13" i="44"/>
  <c r="E13" i="38"/>
  <c r="C13" i="42"/>
  <c r="E13" i="40"/>
  <c r="C14" i="20"/>
  <c r="AI22" i="42"/>
  <c r="C14" i="42"/>
  <c r="C8" i="20"/>
  <c r="C6" i="20"/>
  <c r="C16" i="20"/>
  <c r="G16" i="20"/>
  <c r="AB22" i="44"/>
  <c r="T20" i="50"/>
  <c r="T8" i="50"/>
  <c r="U8" i="50"/>
  <c r="U4" i="50"/>
  <c r="U3" i="50"/>
  <c r="U2" i="50"/>
  <c r="AG6" i="41"/>
  <c r="AF6" i="41"/>
  <c r="AB6" i="37"/>
  <c r="T4" i="50"/>
  <c r="T3" i="50"/>
  <c r="T2" i="50"/>
  <c r="Y5" i="38"/>
  <c r="V7" i="38"/>
  <c r="P8" i="38"/>
  <c r="E4" i="38"/>
  <c r="C15" i="42"/>
  <c r="S20" i="50"/>
  <c r="G16" i="28"/>
  <c r="B48" i="36"/>
  <c r="S8" i="50"/>
  <c r="S4" i="50"/>
  <c r="N8" i="50"/>
  <c r="AC23" i="38"/>
  <c r="AD23" i="38"/>
  <c r="E7" i="40"/>
  <c r="C7" i="20"/>
  <c r="AD22" i="42"/>
  <c r="C8" i="36"/>
  <c r="B44" i="36"/>
  <c r="C16" i="36"/>
  <c r="AD22" i="40"/>
  <c r="C6" i="40"/>
  <c r="AH23" i="28"/>
  <c r="G15" i="28"/>
  <c r="AB23" i="36"/>
  <c r="C15" i="36"/>
  <c r="AA20" i="28"/>
  <c r="G6" i="28"/>
  <c r="AB6" i="44"/>
  <c r="AM6" i="44"/>
  <c r="Y22" i="44"/>
  <c r="Y19" i="44"/>
  <c r="AA10" i="28"/>
  <c r="B46" i="36"/>
  <c r="B45" i="36"/>
  <c r="G4" i="20"/>
  <c r="C15" i="40"/>
  <c r="D6" i="40"/>
  <c r="C10" i="40"/>
  <c r="C11" i="40"/>
  <c r="D14" i="40"/>
  <c r="I7" i="40"/>
  <c r="I8" i="40"/>
  <c r="I14" i="40"/>
  <c r="G13" i="28"/>
  <c r="G9" i="28"/>
  <c r="C9" i="20"/>
  <c r="AC7" i="20"/>
  <c r="AE7" i="20"/>
  <c r="AD7" i="20"/>
  <c r="AB7" i="20"/>
  <c r="C13" i="20"/>
  <c r="AB7" i="36"/>
  <c r="C4" i="38"/>
  <c r="AC7" i="38"/>
  <c r="C9" i="38"/>
  <c r="C13" i="38"/>
  <c r="C14" i="38"/>
  <c r="E6" i="28"/>
  <c r="C6" i="36"/>
  <c r="C15" i="38"/>
  <c r="C15" i="20"/>
  <c r="I15" i="40"/>
  <c r="AA26" i="28"/>
  <c r="I6" i="40"/>
  <c r="AA20" i="40"/>
  <c r="I16" i="40"/>
  <c r="AB23" i="20"/>
  <c r="C14" i="36"/>
  <c r="AB23" i="38"/>
  <c r="I4" i="28"/>
  <c r="C13" i="36"/>
  <c r="C9" i="36"/>
  <c r="G14" i="28"/>
  <c r="AE23" i="20"/>
  <c r="Y5" i="20"/>
  <c r="V8" i="20"/>
  <c r="S3" i="50"/>
  <c r="S2" i="50"/>
  <c r="Y13" i="44"/>
  <c r="Y10" i="44"/>
  <c r="G16" i="36"/>
  <c r="AA13" i="28"/>
  <c r="R8" i="50"/>
  <c r="R2" i="50"/>
  <c r="B40" i="34"/>
  <c r="A45" i="34"/>
  <c r="A44" i="34"/>
  <c r="C38" i="34"/>
  <c r="D38" i="34"/>
  <c r="B38" i="34"/>
  <c r="A41" i="34"/>
  <c r="B41" i="34"/>
  <c r="C41" i="34"/>
  <c r="D41" i="34"/>
  <c r="E41" i="34"/>
  <c r="A40" i="34"/>
  <c r="E38" i="34"/>
  <c r="D37" i="34"/>
  <c r="C37" i="34"/>
  <c r="C40" i="34"/>
  <c r="B37" i="34"/>
  <c r="A43" i="43"/>
  <c r="A39" i="43"/>
  <c r="D37" i="43"/>
  <c r="C37" i="43"/>
  <c r="C39" i="43" s="1"/>
  <c r="B37" i="43"/>
  <c r="X6" i="43"/>
  <c r="AA4" i="43" s="1"/>
  <c r="AD6" i="43"/>
  <c r="V6" i="34"/>
  <c r="AB6" i="34"/>
  <c r="AM22" i="34"/>
  <c r="AB22" i="34"/>
  <c r="AC22" i="34"/>
  <c r="AD22" i="34"/>
  <c r="AE22" i="34"/>
  <c r="Y23" i="38"/>
  <c r="AF6" i="38"/>
  <c r="AE6" i="38"/>
  <c r="AB6" i="38"/>
  <c r="AC23" i="20"/>
  <c r="Q8" i="50"/>
  <c r="O8" i="50"/>
  <c r="P8" i="50"/>
  <c r="Q20" i="50"/>
  <c r="P20" i="50"/>
  <c r="O20" i="50"/>
  <c r="M21" i="50"/>
  <c r="N20" i="50"/>
  <c r="M20" i="50"/>
  <c r="M19" i="50" s="1"/>
  <c r="Q4" i="50"/>
  <c r="P4" i="50"/>
  <c r="O4" i="50"/>
  <c r="N4" i="50"/>
  <c r="Q3" i="50"/>
  <c r="P3" i="50"/>
  <c r="Q2" i="50"/>
  <c r="P2" i="50"/>
  <c r="N2" i="50"/>
  <c r="AD6" i="42"/>
  <c r="AO21" i="40"/>
  <c r="AD21" i="40"/>
  <c r="AD6" i="40"/>
  <c r="O3" i="50"/>
  <c r="O2" i="50"/>
  <c r="M2" i="50"/>
  <c r="Y4" i="38"/>
  <c r="E16" i="32"/>
  <c r="V6" i="38"/>
  <c r="N3" i="50"/>
  <c r="M8" i="50"/>
  <c r="M4" i="50"/>
  <c r="M3" i="50"/>
  <c r="Y7" i="36"/>
  <c r="AB20" i="36"/>
  <c r="AB22" i="32"/>
  <c r="C14" i="32"/>
  <c r="E15" i="32"/>
  <c r="C15" i="32"/>
  <c r="AB7" i="32"/>
  <c r="E15" i="28"/>
  <c r="AG23" i="28"/>
  <c r="AF23" i="28"/>
  <c r="E16" i="28"/>
  <c r="E8" i="28"/>
  <c r="E9" i="32"/>
  <c r="E9" i="28"/>
  <c r="I13" i="30"/>
  <c r="I9" i="30"/>
  <c r="Y23" i="20"/>
  <c r="E6" i="32"/>
  <c r="E8" i="32"/>
  <c r="E7" i="32"/>
  <c r="G4" i="28"/>
  <c r="E4" i="28"/>
  <c r="I7" i="28"/>
  <c r="I8" i="28"/>
  <c r="AA27" i="28"/>
  <c r="I9" i="28"/>
  <c r="I13" i="28"/>
  <c r="I14" i="28"/>
  <c r="I15" i="28"/>
  <c r="I16" i="28"/>
  <c r="I17" i="28"/>
  <c r="I6" i="28"/>
  <c r="H14" i="28"/>
  <c r="H6" i="28"/>
  <c r="E16" i="31"/>
  <c r="C4" i="20"/>
  <c r="C8" i="33"/>
  <c r="E8" i="30"/>
  <c r="E15" i="31"/>
  <c r="C16" i="32"/>
  <c r="L21" i="50"/>
  <c r="L20" i="50"/>
  <c r="L19" i="50"/>
  <c r="L22" i="50"/>
  <c r="L8" i="50"/>
  <c r="L4" i="50"/>
  <c r="L3" i="50"/>
  <c r="L2" i="50"/>
  <c r="Y11" i="32"/>
  <c r="V8" i="32"/>
  <c r="AE23" i="28"/>
  <c r="E14" i="28"/>
  <c r="AC22" i="32"/>
  <c r="AD23" i="28"/>
  <c r="AQ7" i="30"/>
  <c r="AO19" i="30"/>
  <c r="AP19" i="30"/>
  <c r="I6" i="30"/>
  <c r="I15" i="30"/>
  <c r="K7" i="30"/>
  <c r="K8" i="30"/>
  <c r="K9" i="30"/>
  <c r="K13" i="30"/>
  <c r="K14" i="30"/>
  <c r="K15" i="30"/>
  <c r="K16" i="30"/>
  <c r="K6" i="30"/>
  <c r="K4" i="30"/>
  <c r="J14" i="30"/>
  <c r="J6" i="30"/>
  <c r="I4" i="30"/>
  <c r="C16" i="33"/>
  <c r="C16" i="28"/>
  <c r="C9" i="28"/>
  <c r="C6" i="32"/>
  <c r="V7" i="33"/>
  <c r="Y4" i="33"/>
  <c r="AB7" i="33"/>
  <c r="E13" i="31"/>
  <c r="E9" i="31" s="1"/>
  <c r="C9" i="32"/>
  <c r="C13" i="32"/>
  <c r="C9" i="33"/>
  <c r="C13" i="33"/>
  <c r="C15" i="28"/>
  <c r="AM22" i="30"/>
  <c r="G14" i="30"/>
  <c r="AO22" i="30"/>
  <c r="AB21" i="32"/>
  <c r="AB6" i="32"/>
  <c r="C13" i="28"/>
  <c r="X6" i="28"/>
  <c r="AO7" i="30"/>
  <c r="G13" i="30"/>
  <c r="G9" i="30"/>
  <c r="G8" i="30"/>
  <c r="AC11" i="30"/>
  <c r="E6" i="31"/>
  <c r="C15" i="33"/>
  <c r="G16" i="30"/>
  <c r="E7" i="31"/>
  <c r="G6" i="30"/>
  <c r="Y11" i="31"/>
  <c r="I4" i="50"/>
  <c r="G4" i="32"/>
  <c r="C4" i="32"/>
  <c r="E4" i="32"/>
  <c r="C6" i="33"/>
  <c r="AB22" i="33"/>
  <c r="C14" i="33"/>
  <c r="B41" i="30"/>
  <c r="AE23" i="31"/>
  <c r="AF20" i="31"/>
  <c r="C6" i="31"/>
  <c r="E14" i="31"/>
  <c r="AF7" i="17"/>
  <c r="G6" i="33"/>
  <c r="Y20" i="33"/>
  <c r="K3" i="50"/>
  <c r="K4" i="50"/>
  <c r="K5" i="50"/>
  <c r="K15" i="50"/>
  <c r="G6" i="31"/>
  <c r="C7" i="31"/>
  <c r="G7" i="31"/>
  <c r="C9" i="31"/>
  <c r="G9" i="31"/>
  <c r="C10" i="31"/>
  <c r="C11" i="31"/>
  <c r="G13" i="31"/>
  <c r="G14" i="31"/>
  <c r="C16" i="31"/>
  <c r="G16" i="31"/>
  <c r="C15" i="31"/>
  <c r="G15" i="31"/>
  <c r="G8" i="32"/>
  <c r="G16" i="32"/>
  <c r="G15" i="32"/>
  <c r="C6" i="30"/>
  <c r="E6" i="30"/>
  <c r="C7" i="30"/>
  <c r="C8" i="30"/>
  <c r="C13" i="30"/>
  <c r="C9" i="30"/>
  <c r="E9" i="30"/>
  <c r="C10" i="30"/>
  <c r="E10" i="30"/>
  <c r="G10" i="30"/>
  <c r="C11" i="30"/>
  <c r="E11" i="30"/>
  <c r="G11" i="30"/>
  <c r="C14" i="30"/>
  <c r="E14" i="30"/>
  <c r="C16" i="30"/>
  <c r="E16" i="30"/>
  <c r="C15" i="30"/>
  <c r="E15" i="30"/>
  <c r="B40" i="30"/>
  <c r="B42" i="30"/>
  <c r="B36" i="30"/>
  <c r="AC26" i="30"/>
  <c r="H21" i="50"/>
  <c r="D20" i="50"/>
  <c r="D21" i="50"/>
  <c r="D19" i="50"/>
  <c r="H20" i="50"/>
  <c r="H19" i="50"/>
  <c r="AA26" i="4"/>
  <c r="B20" i="50"/>
  <c r="AA27" i="4"/>
  <c r="B21" i="50"/>
  <c r="B19" i="50"/>
  <c r="I8" i="50"/>
  <c r="K8" i="50"/>
  <c r="J8" i="50"/>
  <c r="AF7" i="30"/>
  <c r="AG7" i="30"/>
  <c r="AH7" i="30"/>
  <c r="AI7" i="30"/>
  <c r="AJ7" i="30"/>
  <c r="AK7" i="30"/>
  <c r="AL7" i="30"/>
  <c r="AC10" i="30"/>
  <c r="G4" i="30"/>
  <c r="AF22" i="30"/>
  <c r="AK22" i="30"/>
  <c r="AL22" i="30"/>
  <c r="AB23" i="31"/>
  <c r="H14" i="30"/>
  <c r="G5" i="30"/>
  <c r="G17" i="30"/>
  <c r="H17" i="30"/>
  <c r="H6" i="30"/>
  <c r="H9" i="30"/>
  <c r="G6" i="4"/>
  <c r="G6" i="16"/>
  <c r="E6" i="17"/>
  <c r="Y21" i="31"/>
  <c r="E16" i="22"/>
  <c r="AA11" i="16"/>
  <c r="AM21" i="32"/>
  <c r="AC21" i="32"/>
  <c r="AD21" i="32"/>
  <c r="AC6" i="32"/>
  <c r="AD6" i="32"/>
  <c r="C4" i="33"/>
  <c r="G4" i="33"/>
  <c r="B22" i="50"/>
  <c r="D22" i="50"/>
  <c r="H22" i="50"/>
  <c r="J4" i="50"/>
  <c r="X8" i="16"/>
  <c r="AA5" i="16"/>
  <c r="E9" i="22"/>
  <c r="G9" i="16"/>
  <c r="G13" i="16"/>
  <c r="AL7" i="16"/>
  <c r="J40" i="31"/>
  <c r="C40" i="31"/>
  <c r="K39" i="31"/>
  <c r="K38" i="31"/>
  <c r="L38" i="31" s="1"/>
  <c r="G39" i="31"/>
  <c r="G38" i="31"/>
  <c r="H38" i="31" s="1"/>
  <c r="E39" i="31"/>
  <c r="M39" i="31"/>
  <c r="E38" i="31"/>
  <c r="F38" i="31" s="1"/>
  <c r="D39" i="31"/>
  <c r="D38" i="31"/>
  <c r="Y13" i="31"/>
  <c r="C6" i="17"/>
  <c r="E16" i="16"/>
  <c r="E6" i="16"/>
  <c r="C3" i="48"/>
  <c r="B3" i="48"/>
  <c r="A3" i="48"/>
  <c r="C19" i="48"/>
  <c r="B19" i="48"/>
  <c r="AB6" i="31"/>
  <c r="J2" i="50"/>
  <c r="V6" i="31"/>
  <c r="G8" i="16"/>
  <c r="AK7" i="16"/>
  <c r="G7" i="16"/>
  <c r="E7" i="22"/>
  <c r="I3" i="50"/>
  <c r="I2" i="50"/>
  <c r="H8" i="50"/>
  <c r="I6" i="4"/>
  <c r="I7" i="4"/>
  <c r="AA21" i="4"/>
  <c r="AC5" i="30"/>
  <c r="G16" i="16"/>
  <c r="E7" i="16"/>
  <c r="C7" i="18"/>
  <c r="E7" i="17"/>
  <c r="C6" i="16"/>
  <c r="E6" i="22"/>
  <c r="AL23" i="16"/>
  <c r="G15" i="16"/>
  <c r="AF23" i="22"/>
  <c r="E15" i="22"/>
  <c r="G14" i="16"/>
  <c r="I4" i="16"/>
  <c r="C4" i="16"/>
  <c r="AE7" i="22"/>
  <c r="B37" i="22"/>
  <c r="B38" i="22"/>
  <c r="B39" i="22"/>
  <c r="E8" i="22"/>
  <c r="C6" i="22"/>
  <c r="C8" i="22"/>
  <c r="Z8" i="30"/>
  <c r="Z3" i="30"/>
  <c r="AA4" i="16"/>
  <c r="Y5" i="21"/>
  <c r="Y4" i="21"/>
  <c r="Y5" i="18"/>
  <c r="AE23" i="22"/>
  <c r="E14" i="22"/>
  <c r="E15" i="16"/>
  <c r="AD23" i="22"/>
  <c r="C36" i="30"/>
  <c r="C16" i="18"/>
  <c r="C16" i="22"/>
  <c r="G16" i="18"/>
  <c r="C9" i="21"/>
  <c r="AO4" i="18"/>
  <c r="AE23" i="17"/>
  <c r="AI23" i="16"/>
  <c r="AJ23" i="16"/>
  <c r="E9" i="16"/>
  <c r="E13" i="16"/>
  <c r="C13" i="22"/>
  <c r="C9" i="22"/>
  <c r="AD7" i="22"/>
  <c r="AO7" i="4"/>
  <c r="G9" i="4"/>
  <c r="G13" i="4"/>
  <c r="B39" i="4"/>
  <c r="B40" i="4"/>
  <c r="AL7" i="4"/>
  <c r="AL23" i="4"/>
  <c r="G15" i="4"/>
  <c r="B36" i="22"/>
  <c r="B35" i="22"/>
  <c r="C15" i="22"/>
  <c r="AF23" i="17"/>
  <c r="E15" i="17"/>
  <c r="C15" i="18"/>
  <c r="B39" i="17"/>
  <c r="O22" i="30"/>
  <c r="C8" i="18"/>
  <c r="C16" i="17"/>
  <c r="C14" i="18"/>
  <c r="E14" i="17"/>
  <c r="A19" i="48"/>
  <c r="G16" i="4"/>
  <c r="E16" i="17"/>
  <c r="G8" i="4"/>
  <c r="AA11" i="4"/>
  <c r="H4" i="50"/>
  <c r="H3" i="50"/>
  <c r="H2" i="50"/>
  <c r="AC22" i="30"/>
  <c r="AQ21" i="30"/>
  <c r="AF21" i="30"/>
  <c r="AH21" i="30"/>
  <c r="AI21" i="30"/>
  <c r="AJ21" i="30"/>
  <c r="AC19" i="30"/>
  <c r="Z21" i="30"/>
  <c r="O21" i="30"/>
  <c r="Q21" i="30"/>
  <c r="R21" i="30"/>
  <c r="S21" i="30"/>
  <c r="AC13" i="30"/>
  <c r="AD6" i="22"/>
  <c r="C37" i="4"/>
  <c r="K8" i="18"/>
  <c r="Y25" i="18"/>
  <c r="E8" i="17"/>
  <c r="E4" i="4"/>
  <c r="C4" i="4"/>
  <c r="I4" i="4"/>
  <c r="G4" i="4"/>
  <c r="C4" i="18"/>
  <c r="D4" i="18"/>
  <c r="H4" i="18"/>
  <c r="B40" i="17"/>
  <c r="B41" i="17"/>
  <c r="C9" i="18"/>
  <c r="C13" i="18"/>
  <c r="E9" i="17"/>
  <c r="E13" i="17"/>
  <c r="AB7" i="18"/>
  <c r="AB6" i="18"/>
  <c r="G2" i="50"/>
  <c r="F2" i="50"/>
  <c r="B4" i="50"/>
  <c r="AA4" i="4"/>
  <c r="X8" i="4"/>
  <c r="AA5" i="4"/>
  <c r="B44" i="17"/>
  <c r="Y11" i="17"/>
  <c r="C15" i="21"/>
  <c r="F15" i="16"/>
  <c r="C14" i="22"/>
  <c r="G14" i="4"/>
  <c r="B42" i="17"/>
  <c r="B41" i="4"/>
  <c r="B43" i="4"/>
  <c r="C6" i="21"/>
  <c r="E4" i="22"/>
  <c r="B38" i="17"/>
  <c r="B37" i="4"/>
  <c r="B38" i="4"/>
  <c r="C13" i="21"/>
  <c r="AB22" i="21"/>
  <c r="C14" i="21"/>
  <c r="AJ23" i="4"/>
  <c r="E15" i="4"/>
  <c r="C15" i="17"/>
  <c r="AC23" i="17"/>
  <c r="C8" i="17"/>
  <c r="K19" i="21"/>
  <c r="AB4" i="21"/>
  <c r="C9" i="17"/>
  <c r="E9" i="4"/>
  <c r="AD7" i="17"/>
  <c r="C14" i="4"/>
  <c r="E6" i="4"/>
  <c r="C9" i="16"/>
  <c r="D4" i="16"/>
  <c r="C15" i="16"/>
  <c r="AE23" i="16"/>
  <c r="E14" i="4"/>
  <c r="AK23" i="4"/>
  <c r="E16" i="4"/>
  <c r="C14" i="17"/>
  <c r="I8" i="4"/>
  <c r="I14" i="4"/>
  <c r="H14" i="4"/>
  <c r="G10" i="4"/>
  <c r="G11" i="4"/>
  <c r="H9" i="4"/>
  <c r="H6" i="4"/>
  <c r="G5" i="4"/>
  <c r="G18" i="4"/>
  <c r="H18" i="4"/>
  <c r="D4" i="17"/>
  <c r="E13" i="4"/>
  <c r="I13" i="4"/>
  <c r="E4" i="50"/>
  <c r="E9" i="50"/>
  <c r="E8" i="50"/>
  <c r="E3" i="50"/>
  <c r="E2" i="50"/>
  <c r="Y4" i="18"/>
  <c r="AM7" i="18"/>
  <c r="AM21" i="18"/>
  <c r="AM6" i="18"/>
  <c r="Y13" i="18"/>
  <c r="AB21" i="18"/>
  <c r="Y22" i="18"/>
  <c r="K21" i="18"/>
  <c r="Y19" i="18"/>
  <c r="C16" i="16"/>
  <c r="Y10" i="18"/>
  <c r="AB19" i="18"/>
  <c r="AB4" i="18"/>
  <c r="C16" i="4"/>
  <c r="I16" i="4"/>
  <c r="AB23" i="17"/>
  <c r="AE23" i="4"/>
  <c r="AG23" i="4"/>
  <c r="C15" i="4"/>
  <c r="I15" i="4"/>
  <c r="AD23" i="4"/>
  <c r="AD23" i="16"/>
  <c r="C6" i="4"/>
  <c r="AF22" i="17"/>
  <c r="AE22" i="17"/>
  <c r="AB22" i="17"/>
  <c r="AF6" i="17"/>
  <c r="AE6" i="17"/>
  <c r="AB6" i="17"/>
  <c r="AF20" i="17"/>
  <c r="AE20" i="17"/>
  <c r="AD20" i="17"/>
  <c r="AC20" i="17"/>
  <c r="AB20" i="17"/>
  <c r="AA20" i="4"/>
  <c r="AA23" i="4"/>
  <c r="AO6" i="4"/>
  <c r="AA13" i="4"/>
  <c r="AA13" i="16"/>
  <c r="D2" i="50"/>
  <c r="Y13" i="17"/>
  <c r="Y23" i="17"/>
  <c r="AG7" i="4"/>
  <c r="C9" i="4"/>
  <c r="I9" i="4"/>
  <c r="AD6" i="16"/>
  <c r="AA10" i="16"/>
  <c r="I7" i="16"/>
  <c r="I8" i="16"/>
  <c r="I9" i="16"/>
  <c r="I13" i="16"/>
  <c r="I14" i="16"/>
  <c r="I15" i="16"/>
  <c r="I16" i="16"/>
  <c r="I6" i="16"/>
  <c r="H14" i="16"/>
  <c r="G10" i="16"/>
  <c r="G11" i="16"/>
  <c r="H9" i="16"/>
  <c r="H6" i="16"/>
  <c r="G5" i="16"/>
  <c r="J4" i="16"/>
  <c r="J14" i="16"/>
  <c r="AD6" i="4"/>
  <c r="C2" i="50"/>
  <c r="B2" i="50"/>
  <c r="AM21" i="41"/>
  <c r="AB21" i="41" s="1"/>
  <c r="V21" i="41"/>
  <c r="V21" i="44"/>
  <c r="C10" i="28"/>
  <c r="V21" i="32"/>
  <c r="AO22" i="22"/>
  <c r="AD22" i="22"/>
  <c r="X22" i="22"/>
  <c r="M22" i="22"/>
  <c r="C10" i="21"/>
  <c r="AM21" i="21"/>
  <c r="AM22" i="17"/>
  <c r="V22" i="17"/>
  <c r="AO22" i="16"/>
  <c r="AD22" i="16"/>
  <c r="AO22" i="4"/>
  <c r="AD22" i="4"/>
  <c r="D42" i="53"/>
  <c r="E42" i="53"/>
  <c r="C42" i="53"/>
  <c r="D41" i="53"/>
  <c r="E41" i="53"/>
  <c r="C41" i="53"/>
  <c r="G4" i="52"/>
  <c r="C4" i="52" s="1"/>
  <c r="G4" i="51"/>
  <c r="G4" i="53"/>
  <c r="E4" i="53"/>
  <c r="AO22" i="47"/>
  <c r="O8" i="53"/>
  <c r="H4" i="53"/>
  <c r="H4" i="52"/>
  <c r="J4" i="47"/>
  <c r="H4" i="51"/>
  <c r="C80" i="52"/>
  <c r="C4" i="53"/>
  <c r="V7" i="53"/>
  <c r="H5" i="51"/>
  <c r="P8" i="51"/>
  <c r="V7" i="52"/>
  <c r="C81" i="52"/>
  <c r="C66" i="47"/>
  <c r="C6" i="47" s="1"/>
  <c r="I6" i="47" s="1"/>
  <c r="C53" i="52"/>
  <c r="C58" i="52"/>
  <c r="C59" i="52"/>
  <c r="X6" i="47"/>
  <c r="V6" i="46"/>
  <c r="H48" i="53"/>
  <c r="H49" i="53"/>
  <c r="H47" i="53"/>
  <c r="E48" i="53"/>
  <c r="F48" i="53"/>
  <c r="G48" i="53"/>
  <c r="E49" i="53"/>
  <c r="F49" i="53"/>
  <c r="G49" i="53"/>
  <c r="D49" i="53"/>
  <c r="Z22" i="50"/>
  <c r="Y4" i="53"/>
  <c r="D48" i="53"/>
  <c r="F47" i="53"/>
  <c r="AM22" i="53"/>
  <c r="Y23" i="53"/>
  <c r="V22" i="53"/>
  <c r="AM21" i="53"/>
  <c r="AB21" i="53"/>
  <c r="Y20" i="53"/>
  <c r="V21" i="53"/>
  <c r="K21" i="53"/>
  <c r="G16" i="53"/>
  <c r="G15" i="53"/>
  <c r="G14" i="53"/>
  <c r="H14" i="53"/>
  <c r="F14" i="53"/>
  <c r="D14" i="53"/>
  <c r="G13" i="53"/>
  <c r="E10" i="53"/>
  <c r="E11" i="53"/>
  <c r="E12" i="53"/>
  <c r="C10" i="53"/>
  <c r="G9" i="53"/>
  <c r="F9" i="53"/>
  <c r="V8" i="53"/>
  <c r="G8" i="53"/>
  <c r="AM7" i="53"/>
  <c r="G7" i="53"/>
  <c r="Y7" i="53"/>
  <c r="AB6" i="53"/>
  <c r="V6" i="53"/>
  <c r="F6" i="53"/>
  <c r="Y5" i="53"/>
  <c r="E5" i="53"/>
  <c r="B55" i="46"/>
  <c r="X22" i="50"/>
  <c r="V6" i="52"/>
  <c r="E49" i="52"/>
  <c r="D49" i="52"/>
  <c r="E48" i="52"/>
  <c r="D48" i="52"/>
  <c r="D50" i="52"/>
  <c r="F47" i="52"/>
  <c r="AM22" i="52"/>
  <c r="Y23" i="52"/>
  <c r="AM21" i="52"/>
  <c r="AB21" i="52"/>
  <c r="V21" i="52"/>
  <c r="K21" i="52"/>
  <c r="G16" i="52"/>
  <c r="G15" i="52"/>
  <c r="G14" i="52"/>
  <c r="H14" i="52"/>
  <c r="F14" i="52"/>
  <c r="D14" i="52"/>
  <c r="G13" i="52"/>
  <c r="E10" i="52"/>
  <c r="E11" i="52"/>
  <c r="E12" i="52"/>
  <c r="C10" i="52"/>
  <c r="G9" i="52"/>
  <c r="F9" i="52"/>
  <c r="G8" i="52"/>
  <c r="AM7" i="52"/>
  <c r="H5" i="52"/>
  <c r="G7" i="52"/>
  <c r="Y7" i="52"/>
  <c r="AB6" i="52"/>
  <c r="Y4" i="52"/>
  <c r="E4" i="46"/>
  <c r="AM22" i="51"/>
  <c r="V22" i="51"/>
  <c r="AM21" i="51"/>
  <c r="V21" i="51"/>
  <c r="K21" i="51"/>
  <c r="G16" i="51"/>
  <c r="G15" i="51"/>
  <c r="G14" i="51"/>
  <c r="Y23" i="51" s="1"/>
  <c r="H14" i="51"/>
  <c r="F14" i="51"/>
  <c r="D14" i="51"/>
  <c r="G13" i="51"/>
  <c r="E10" i="51"/>
  <c r="E11" i="51"/>
  <c r="C10" i="51"/>
  <c r="G9" i="51"/>
  <c r="F9" i="51"/>
  <c r="V8" i="51"/>
  <c r="G8" i="51"/>
  <c r="Y8" i="51"/>
  <c r="G7" i="51"/>
  <c r="Y7" i="51"/>
  <c r="F6" i="51"/>
  <c r="E5" i="51"/>
  <c r="Y4" i="51"/>
  <c r="V7" i="46"/>
  <c r="U22" i="50"/>
  <c r="W22" i="50"/>
  <c r="G8" i="50"/>
  <c r="D8" i="50"/>
  <c r="C8" i="50"/>
  <c r="B8" i="50"/>
  <c r="U5" i="50"/>
  <c r="U15" i="50" s="1"/>
  <c r="N5" i="50"/>
  <c r="N15" i="50"/>
  <c r="M5" i="50"/>
  <c r="M15" i="50"/>
  <c r="F4" i="50"/>
  <c r="F3" i="50"/>
  <c r="G4" i="50"/>
  <c r="G3" i="50"/>
  <c r="D4" i="50"/>
  <c r="D3" i="50"/>
  <c r="C3" i="50"/>
  <c r="C5" i="50"/>
  <c r="C15" i="50"/>
  <c r="B3" i="50"/>
  <c r="M22" i="50"/>
  <c r="W5" i="50"/>
  <c r="W15" i="50"/>
  <c r="V5" i="50"/>
  <c r="V15" i="50"/>
  <c r="T5" i="50"/>
  <c r="O5" i="50"/>
  <c r="O15" i="50"/>
  <c r="L5" i="50"/>
  <c r="L15" i="50"/>
  <c r="D5" i="50"/>
  <c r="D15" i="50"/>
  <c r="B5" i="50"/>
  <c r="B15" i="50"/>
  <c r="E17" i="51"/>
  <c r="F17" i="51"/>
  <c r="G6" i="51"/>
  <c r="Y20" i="51" s="1"/>
  <c r="D6" i="51"/>
  <c r="AD6" i="51"/>
  <c r="AE6" i="51"/>
  <c r="AF6" i="51"/>
  <c r="AC6" i="51"/>
  <c r="C11" i="51"/>
  <c r="G10" i="51"/>
  <c r="AD21" i="51"/>
  <c r="AE21" i="51"/>
  <c r="AF21" i="51"/>
  <c r="AG21" i="51"/>
  <c r="AC21" i="51"/>
  <c r="G5" i="50"/>
  <c r="G15" i="50"/>
  <c r="F5" i="50"/>
  <c r="F15" i="50"/>
  <c r="I5" i="50"/>
  <c r="I15" i="50"/>
  <c r="P5" i="50"/>
  <c r="P15" i="50"/>
  <c r="Q5" i="50"/>
  <c r="S5" i="50"/>
  <c r="S15" i="50" s="1"/>
  <c r="H5" i="50"/>
  <c r="H15" i="50"/>
  <c r="M21" i="51"/>
  <c r="N21" i="51"/>
  <c r="O21" i="51"/>
  <c r="P21" i="51"/>
  <c r="L21" i="51"/>
  <c r="C5" i="51"/>
  <c r="G12" i="51"/>
  <c r="G11" i="51"/>
  <c r="H9" i="51"/>
  <c r="D9" i="51"/>
  <c r="C17" i="51"/>
  <c r="D17" i="51"/>
  <c r="H6" i="51"/>
  <c r="G5" i="51"/>
  <c r="Z16" i="50" s="1"/>
  <c r="C27" i="48"/>
  <c r="C26" i="48"/>
  <c r="C8" i="48"/>
  <c r="C2" i="48"/>
  <c r="C11" i="48"/>
  <c r="C22" i="48"/>
  <c r="C23" i="48"/>
  <c r="C7" i="48"/>
  <c r="C12" i="48"/>
  <c r="C20" i="48"/>
  <c r="C21" i="48"/>
  <c r="C14" i="48"/>
  <c r="C13" i="48"/>
  <c r="C17" i="48"/>
  <c r="C6" i="48"/>
  <c r="C16" i="48"/>
  <c r="C4" i="48"/>
  <c r="C15" i="48"/>
  <c r="C18" i="48"/>
  <c r="B27" i="48"/>
  <c r="B26" i="48"/>
  <c r="B2" i="48"/>
  <c r="B11" i="48"/>
  <c r="B22" i="48"/>
  <c r="B23" i="48"/>
  <c r="B7" i="48"/>
  <c r="B12" i="48"/>
  <c r="B20" i="48"/>
  <c r="B21" i="48"/>
  <c r="B14" i="48"/>
  <c r="B17" i="48"/>
  <c r="B6" i="48"/>
  <c r="B16" i="48"/>
  <c r="B4" i="48"/>
  <c r="B15" i="48"/>
  <c r="B18" i="48"/>
  <c r="D3" i="48"/>
  <c r="D18" i="48"/>
  <c r="D15" i="48"/>
  <c r="D4" i="48"/>
  <c r="D16" i="48"/>
  <c r="D6" i="48"/>
  <c r="D17" i="48"/>
  <c r="D14" i="48"/>
  <c r="D21" i="48"/>
  <c r="D20" i="48"/>
  <c r="D12" i="48"/>
  <c r="D7" i="48"/>
  <c r="D23" i="48"/>
  <c r="D22" i="48"/>
  <c r="D11" i="48"/>
  <c r="D2" i="48"/>
  <c r="D26" i="48"/>
  <c r="D27" i="48"/>
  <c r="B25" i="48"/>
  <c r="C24" i="48"/>
  <c r="B24" i="48"/>
  <c r="X22" i="42"/>
  <c r="A24" i="48"/>
  <c r="AM22" i="49"/>
  <c r="Y23" i="49"/>
  <c r="V22" i="49"/>
  <c r="V21" i="49"/>
  <c r="G16" i="49"/>
  <c r="G15" i="49"/>
  <c r="G14" i="49"/>
  <c r="H14" i="49"/>
  <c r="F14" i="49"/>
  <c r="D14" i="49"/>
  <c r="G13" i="49"/>
  <c r="E10" i="49"/>
  <c r="E11" i="49"/>
  <c r="C10" i="49"/>
  <c r="G9" i="49"/>
  <c r="F9" i="49"/>
  <c r="V8" i="49"/>
  <c r="Y5" i="49" s="1"/>
  <c r="G8" i="49"/>
  <c r="AM7" i="49"/>
  <c r="Y9" i="50" s="1"/>
  <c r="Y8" i="49"/>
  <c r="Y7" i="49"/>
  <c r="G7" i="49"/>
  <c r="G6" i="49"/>
  <c r="H6" i="49"/>
  <c r="F6" i="49"/>
  <c r="D6" i="49"/>
  <c r="E5" i="49"/>
  <c r="H4" i="49"/>
  <c r="C4" i="49"/>
  <c r="E4" i="49" s="1"/>
  <c r="A25" i="48"/>
  <c r="A18" i="48"/>
  <c r="A15" i="48"/>
  <c r="A16" i="48"/>
  <c r="A9" i="48"/>
  <c r="A4" i="48"/>
  <c r="A23" i="48"/>
  <c r="A22" i="48"/>
  <c r="A20" i="48"/>
  <c r="A27" i="48"/>
  <c r="A14" i="48"/>
  <c r="A17" i="48"/>
  <c r="A11" i="48"/>
  <c r="A8" i="48"/>
  <c r="A6" i="48"/>
  <c r="A26" i="48"/>
  <c r="A2" i="48"/>
  <c r="A21" i="48"/>
  <c r="A7" i="48"/>
  <c r="A12" i="48"/>
  <c r="M8" i="44"/>
  <c r="V7" i="41"/>
  <c r="G4" i="44"/>
  <c r="G4" i="46"/>
  <c r="I7" i="42"/>
  <c r="I8" i="42"/>
  <c r="AA26" i="42" s="1"/>
  <c r="Q21" i="50" s="1"/>
  <c r="Q19" i="50" s="1"/>
  <c r="Q22" i="50" s="1"/>
  <c r="I9" i="42"/>
  <c r="I13" i="42"/>
  <c r="I14" i="42"/>
  <c r="I15" i="42"/>
  <c r="I16" i="42"/>
  <c r="I6" i="42"/>
  <c r="AA20" i="42" s="1"/>
  <c r="G6" i="36"/>
  <c r="AO21" i="47"/>
  <c r="AA23" i="47"/>
  <c r="X22" i="47"/>
  <c r="AG21" i="47"/>
  <c r="AD21" i="47"/>
  <c r="X21" i="47"/>
  <c r="P21" i="47"/>
  <c r="M21" i="47"/>
  <c r="J14" i="47"/>
  <c r="F14" i="47"/>
  <c r="D14" i="47"/>
  <c r="E10" i="47"/>
  <c r="E11" i="47"/>
  <c r="F9" i="47"/>
  <c r="AO7" i="47"/>
  <c r="X9" i="50" s="1"/>
  <c r="X10" i="50" s="1"/>
  <c r="AA8" i="47"/>
  <c r="AA7" i="47"/>
  <c r="AA20" i="47"/>
  <c r="J6" i="47"/>
  <c r="F6" i="47"/>
  <c r="D6" i="47"/>
  <c r="E5" i="47"/>
  <c r="AA4" i="47"/>
  <c r="AA20" i="43"/>
  <c r="P8" i="34"/>
  <c r="V8" i="34"/>
  <c r="G4" i="37"/>
  <c r="M8" i="37"/>
  <c r="G4" i="41"/>
  <c r="C4" i="41" s="1"/>
  <c r="C12" i="41" s="1"/>
  <c r="L8" i="41"/>
  <c r="X7" i="43"/>
  <c r="V7" i="44"/>
  <c r="AM21" i="44"/>
  <c r="X22" i="40"/>
  <c r="AE6" i="40"/>
  <c r="X22" i="43"/>
  <c r="AM21" i="46"/>
  <c r="V21" i="46"/>
  <c r="V22" i="46"/>
  <c r="Y20" i="46"/>
  <c r="AE21" i="46"/>
  <c r="AB21" i="46"/>
  <c r="N21" i="46"/>
  <c r="K21" i="46"/>
  <c r="G16" i="46"/>
  <c r="G15" i="46"/>
  <c r="AB22" i="46" s="1"/>
  <c r="AM22" i="46" s="1"/>
  <c r="Y23" i="46" s="1"/>
  <c r="F14" i="46"/>
  <c r="G13" i="46"/>
  <c r="E10" i="46"/>
  <c r="E11" i="46"/>
  <c r="E12" i="46"/>
  <c r="F9" i="46"/>
  <c r="V8" i="46"/>
  <c r="G8" i="46"/>
  <c r="AM7" i="46"/>
  <c r="Y7" i="46"/>
  <c r="G7" i="46"/>
  <c r="AE6" i="46"/>
  <c r="AB6" i="46"/>
  <c r="F6" i="46"/>
  <c r="Y5" i="46"/>
  <c r="E5" i="46"/>
  <c r="E17" i="46"/>
  <c r="F17" i="46"/>
  <c r="Y4" i="46"/>
  <c r="H4" i="46"/>
  <c r="AF19" i="40"/>
  <c r="AF4" i="40"/>
  <c r="O19" i="40"/>
  <c r="AA26" i="40"/>
  <c r="P21" i="50"/>
  <c r="P19" i="50"/>
  <c r="P22" i="50"/>
  <c r="H14" i="40"/>
  <c r="G10" i="40"/>
  <c r="G11" i="40"/>
  <c r="G12" i="40"/>
  <c r="H9" i="40"/>
  <c r="H6" i="40"/>
  <c r="G5" i="40"/>
  <c r="G17" i="40"/>
  <c r="H17" i="40"/>
  <c r="X6" i="42"/>
  <c r="X7" i="22"/>
  <c r="M20" i="37"/>
  <c r="V7" i="37"/>
  <c r="V7" i="36"/>
  <c r="X7" i="28"/>
  <c r="AO21" i="42"/>
  <c r="AD21" i="42"/>
  <c r="V22" i="44"/>
  <c r="AE21" i="44"/>
  <c r="AB21" i="44"/>
  <c r="N21" i="44"/>
  <c r="K21" i="44"/>
  <c r="G16" i="44"/>
  <c r="G15" i="44"/>
  <c r="G14" i="44"/>
  <c r="H14" i="44"/>
  <c r="F14" i="44"/>
  <c r="D14" i="44"/>
  <c r="G13" i="44"/>
  <c r="E10" i="44"/>
  <c r="E11" i="44"/>
  <c r="F9" i="44"/>
  <c r="V8" i="44"/>
  <c r="G8" i="44"/>
  <c r="S21" i="50"/>
  <c r="S19" i="50" s="1"/>
  <c r="S22" i="50" s="1"/>
  <c r="AM7" i="44"/>
  <c r="S9" i="50" s="1"/>
  <c r="Y8" i="44"/>
  <c r="Y7" i="44"/>
  <c r="G7" i="44"/>
  <c r="AE6" i="44"/>
  <c r="V6" i="44"/>
  <c r="F6" i="44"/>
  <c r="Y5" i="44"/>
  <c r="E5" i="44"/>
  <c r="Y4" i="44"/>
  <c r="G4" i="36"/>
  <c r="C4" i="36"/>
  <c r="AO22" i="43"/>
  <c r="AA23" i="43"/>
  <c r="AO21" i="43"/>
  <c r="AD21" i="43"/>
  <c r="X21" i="43"/>
  <c r="M21" i="43" s="1"/>
  <c r="J14" i="43"/>
  <c r="H14" i="43"/>
  <c r="F14" i="43"/>
  <c r="D14" i="43"/>
  <c r="E10" i="43"/>
  <c r="C10" i="43"/>
  <c r="H9" i="43"/>
  <c r="R9" i="50"/>
  <c r="AA8" i="43"/>
  <c r="AA7" i="43"/>
  <c r="J6" i="43"/>
  <c r="H6" i="43"/>
  <c r="F6" i="43"/>
  <c r="D6" i="43"/>
  <c r="G5" i="43"/>
  <c r="J4" i="43"/>
  <c r="G17" i="43"/>
  <c r="H17" i="43"/>
  <c r="H14" i="42"/>
  <c r="G10" i="42"/>
  <c r="H6" i="42"/>
  <c r="AO22" i="42"/>
  <c r="AA23" i="42"/>
  <c r="X21" i="42"/>
  <c r="M21" i="42"/>
  <c r="J14" i="42"/>
  <c r="F14" i="42"/>
  <c r="D14" i="42"/>
  <c r="E10" i="42"/>
  <c r="E11" i="42"/>
  <c r="E12" i="42"/>
  <c r="C10" i="42"/>
  <c r="F9" i="42"/>
  <c r="AO7" i="42"/>
  <c r="Q9" i="50" s="1"/>
  <c r="R10" i="50"/>
  <c r="AA8" i="42"/>
  <c r="AA7" i="42"/>
  <c r="J6" i="42"/>
  <c r="F6" i="42"/>
  <c r="D6" i="42"/>
  <c r="E5" i="42"/>
  <c r="J4" i="42"/>
  <c r="G4" i="42"/>
  <c r="E17" i="42"/>
  <c r="F17" i="42"/>
  <c r="Y23" i="41"/>
  <c r="V22" i="41"/>
  <c r="N21" i="41"/>
  <c r="K21" i="41"/>
  <c r="G16" i="41"/>
  <c r="G15" i="41"/>
  <c r="G14" i="41"/>
  <c r="H14" i="41"/>
  <c r="F14" i="41"/>
  <c r="D14" i="41"/>
  <c r="G13" i="41"/>
  <c r="E10" i="41"/>
  <c r="E11" i="41"/>
  <c r="C10" i="41"/>
  <c r="G9" i="41"/>
  <c r="F9" i="41"/>
  <c r="V8" i="41"/>
  <c r="Y5" i="41" s="1"/>
  <c r="G8" i="41"/>
  <c r="U9" i="50"/>
  <c r="S10" i="50"/>
  <c r="Y8" i="41"/>
  <c r="Y7" i="41"/>
  <c r="G7" i="41"/>
  <c r="G6" i="41"/>
  <c r="Y20" i="41" s="1"/>
  <c r="H6" i="41"/>
  <c r="F6" i="41"/>
  <c r="D6" i="41"/>
  <c r="E5" i="41"/>
  <c r="H4" i="41"/>
  <c r="AE21" i="40"/>
  <c r="AO22" i="40"/>
  <c r="AA23" i="40"/>
  <c r="X21" i="40"/>
  <c r="AG19" i="40"/>
  <c r="P19" i="40"/>
  <c r="J14" i="40"/>
  <c r="F14" i="40"/>
  <c r="AO7" i="40"/>
  <c r="AA8" i="40"/>
  <c r="AA7" i="40"/>
  <c r="X6" i="40"/>
  <c r="F6" i="40"/>
  <c r="AG4" i="40"/>
  <c r="E4" i="40"/>
  <c r="AM22" i="39"/>
  <c r="Y23" i="39"/>
  <c r="V22" i="39"/>
  <c r="AM21" i="39"/>
  <c r="V21" i="39"/>
  <c r="N21" i="39"/>
  <c r="K21" i="39"/>
  <c r="G16" i="39"/>
  <c r="G15" i="39"/>
  <c r="G14" i="39"/>
  <c r="H14" i="39"/>
  <c r="F14" i="39"/>
  <c r="D14" i="39"/>
  <c r="G13" i="39"/>
  <c r="E10" i="39"/>
  <c r="E11" i="39"/>
  <c r="C10" i="39"/>
  <c r="G9" i="39"/>
  <c r="F9" i="39"/>
  <c r="V8" i="39"/>
  <c r="G8" i="39"/>
  <c r="AM7" i="39"/>
  <c r="W9" i="50" s="1"/>
  <c r="W10" i="50" s="1"/>
  <c r="Y7" i="39"/>
  <c r="V7" i="39"/>
  <c r="G7" i="39"/>
  <c r="V6" i="39"/>
  <c r="G6" i="39"/>
  <c r="Y20" i="39" s="1"/>
  <c r="H6" i="39"/>
  <c r="F6" i="39"/>
  <c r="D6" i="39"/>
  <c r="Y5" i="39"/>
  <c r="E5" i="39"/>
  <c r="H4" i="39"/>
  <c r="N20" i="36"/>
  <c r="AM7" i="34"/>
  <c r="J9" i="50"/>
  <c r="J10" i="50"/>
  <c r="AM23" i="38"/>
  <c r="Y24" i="38"/>
  <c r="V23" i="38"/>
  <c r="AM22" i="38"/>
  <c r="AB22" i="38"/>
  <c r="AE22" i="38"/>
  <c r="AF22" i="38"/>
  <c r="V22" i="38"/>
  <c r="N22" i="38"/>
  <c r="K22" i="38"/>
  <c r="G16" i="38"/>
  <c r="G15" i="38"/>
  <c r="G14" i="38"/>
  <c r="F14" i="38"/>
  <c r="D14" i="38"/>
  <c r="G13" i="38"/>
  <c r="E10" i="38"/>
  <c r="E11" i="38"/>
  <c r="C10" i="38"/>
  <c r="G9" i="38"/>
  <c r="F9" i="38"/>
  <c r="V8" i="38"/>
  <c r="G8" i="38"/>
  <c r="O21" i="50"/>
  <c r="O19" i="50"/>
  <c r="AM7" i="38"/>
  <c r="O9" i="50" s="1"/>
  <c r="O10" i="50" s="1"/>
  <c r="Y8" i="38"/>
  <c r="Y7" i="38"/>
  <c r="G7" i="38"/>
  <c r="G6" i="38"/>
  <c r="Y21" i="38" s="1"/>
  <c r="H6" i="38"/>
  <c r="F6" i="38"/>
  <c r="D6" i="38"/>
  <c r="E5" i="38"/>
  <c r="AG19" i="33"/>
  <c r="P19" i="33"/>
  <c r="AG4" i="33"/>
  <c r="V7" i="34"/>
  <c r="Y5" i="34"/>
  <c r="AM23" i="37"/>
  <c r="V23" i="37"/>
  <c r="AM22" i="37"/>
  <c r="AB22" i="37" s="1"/>
  <c r="AE22" i="37"/>
  <c r="G16" i="37"/>
  <c r="G15" i="37"/>
  <c r="G14" i="37"/>
  <c r="F14" i="37"/>
  <c r="D14" i="37"/>
  <c r="G13" i="37"/>
  <c r="E10" i="37"/>
  <c r="E11" i="37"/>
  <c r="C10" i="37"/>
  <c r="G9" i="37"/>
  <c r="V8" i="37"/>
  <c r="G8" i="37"/>
  <c r="AM7" i="37"/>
  <c r="T9" i="50" s="1"/>
  <c r="Y8" i="37"/>
  <c r="Y7" i="37"/>
  <c r="G7" i="37"/>
  <c r="AE6" i="37"/>
  <c r="V6" i="37"/>
  <c r="G6" i="37"/>
  <c r="Y21" i="37" s="1"/>
  <c r="H6" i="37"/>
  <c r="F6" i="37"/>
  <c r="D6" i="37"/>
  <c r="Y5" i="37"/>
  <c r="Y4" i="37"/>
  <c r="P8" i="33"/>
  <c r="V8" i="33"/>
  <c r="V6" i="33"/>
  <c r="AM22" i="36"/>
  <c r="AM22" i="20"/>
  <c r="V22" i="20"/>
  <c r="V22" i="36"/>
  <c r="V23" i="36"/>
  <c r="AB22" i="36"/>
  <c r="N22" i="36"/>
  <c r="K22" i="36"/>
  <c r="G15" i="36"/>
  <c r="G14" i="36"/>
  <c r="H14" i="36"/>
  <c r="F14" i="36"/>
  <c r="D14" i="36"/>
  <c r="G13" i="36"/>
  <c r="E10" i="36"/>
  <c r="E11" i="36"/>
  <c r="E12" i="36"/>
  <c r="C10" i="36"/>
  <c r="G9" i="36"/>
  <c r="F9" i="36"/>
  <c r="V8" i="36"/>
  <c r="G8" i="36"/>
  <c r="N21" i="50"/>
  <c r="N19" i="50"/>
  <c r="AM7" i="36"/>
  <c r="G7" i="36"/>
  <c r="AB6" i="36"/>
  <c r="H6" i="36"/>
  <c r="F6" i="36"/>
  <c r="D6" i="36"/>
  <c r="Y5" i="36"/>
  <c r="E5" i="36"/>
  <c r="X22" i="28"/>
  <c r="AM23" i="34"/>
  <c r="Y24" i="34"/>
  <c r="V23" i="34"/>
  <c r="V22" i="34"/>
  <c r="K22" i="34"/>
  <c r="Y21" i="34"/>
  <c r="G16" i="34"/>
  <c r="G15" i="34"/>
  <c r="G14" i="34"/>
  <c r="H14" i="34"/>
  <c r="F14" i="34"/>
  <c r="D14" i="34"/>
  <c r="G13" i="34"/>
  <c r="E10" i="34"/>
  <c r="E11" i="34"/>
  <c r="C10" i="34"/>
  <c r="C11" i="34"/>
  <c r="G9" i="34"/>
  <c r="G8" i="34"/>
  <c r="Y8" i="34"/>
  <c r="Y7" i="34"/>
  <c r="G7" i="34"/>
  <c r="G6" i="34"/>
  <c r="H6" i="34"/>
  <c r="F6" i="34"/>
  <c r="D6" i="34"/>
  <c r="Y4" i="34"/>
  <c r="H4" i="34"/>
  <c r="C4" i="34"/>
  <c r="V21" i="33"/>
  <c r="K21" i="33"/>
  <c r="AB6" i="33"/>
  <c r="AM22" i="33"/>
  <c r="Y23" i="33"/>
  <c r="Y22" i="33"/>
  <c r="V22" i="33"/>
  <c r="G16" i="33"/>
  <c r="G15" i="33"/>
  <c r="G14" i="33"/>
  <c r="H14" i="33"/>
  <c r="F14" i="33"/>
  <c r="D14" i="33"/>
  <c r="G13" i="33"/>
  <c r="E10" i="33"/>
  <c r="E11" i="33"/>
  <c r="E12" i="33"/>
  <c r="F9" i="33"/>
  <c r="G8" i="33"/>
  <c r="Y26" i="33"/>
  <c r="AM7" i="33"/>
  <c r="I9" i="50"/>
  <c r="I10" i="50"/>
  <c r="Y8" i="33"/>
  <c r="Y7" i="33"/>
  <c r="G7" i="33"/>
  <c r="F6" i="33"/>
  <c r="E5" i="33"/>
  <c r="E17" i="33"/>
  <c r="F17" i="33"/>
  <c r="R20" i="22"/>
  <c r="I7" i="22"/>
  <c r="AA21" i="22"/>
  <c r="I8" i="22"/>
  <c r="I4" i="22"/>
  <c r="C4" i="22"/>
  <c r="H14" i="22"/>
  <c r="H6" i="22"/>
  <c r="Y4" i="32"/>
  <c r="V7" i="32"/>
  <c r="Y5" i="32"/>
  <c r="V6" i="32"/>
  <c r="Y7" i="32"/>
  <c r="AM22" i="32"/>
  <c r="V22" i="32"/>
  <c r="K19" i="32"/>
  <c r="F14" i="32"/>
  <c r="G13" i="32"/>
  <c r="E10" i="32"/>
  <c r="E11" i="32"/>
  <c r="F9" i="32"/>
  <c r="AM7" i="32"/>
  <c r="G7" i="32"/>
  <c r="F6" i="32"/>
  <c r="E5" i="32"/>
  <c r="D4" i="31"/>
  <c r="V22" i="31"/>
  <c r="K22" i="31"/>
  <c r="Y4" i="31"/>
  <c r="AM23" i="31"/>
  <c r="Y24" i="31"/>
  <c r="V23" i="31"/>
  <c r="AM22" i="31"/>
  <c r="AB22" i="31"/>
  <c r="H14" i="31"/>
  <c r="F14" i="31"/>
  <c r="D14" i="31"/>
  <c r="E10" i="31"/>
  <c r="G10" i="31"/>
  <c r="E11" i="31"/>
  <c r="G11" i="31"/>
  <c r="G12" i="31"/>
  <c r="F9" i="31"/>
  <c r="G8" i="31"/>
  <c r="G5" i="31" s="1"/>
  <c r="Y27" i="31"/>
  <c r="AM7" i="31"/>
  <c r="Y8" i="31"/>
  <c r="Y7" i="31"/>
  <c r="H6" i="31"/>
  <c r="F6" i="31"/>
  <c r="D6" i="31"/>
  <c r="E5" i="31"/>
  <c r="X8" i="22"/>
  <c r="L14" i="30"/>
  <c r="F14" i="30"/>
  <c r="D14" i="30"/>
  <c r="F9" i="30"/>
  <c r="H9" i="50"/>
  <c r="AC8" i="30"/>
  <c r="AC7" i="30"/>
  <c r="Z7" i="30"/>
  <c r="Z6" i="30"/>
  <c r="AC20" i="30"/>
  <c r="L6" i="30"/>
  <c r="F6" i="30"/>
  <c r="D6" i="30"/>
  <c r="Z22" i="30"/>
  <c r="E5" i="30"/>
  <c r="E4" i="30"/>
  <c r="E17" i="30"/>
  <c r="F17" i="30"/>
  <c r="AO23" i="22"/>
  <c r="I14" i="22"/>
  <c r="I16" i="22"/>
  <c r="I15" i="22"/>
  <c r="I6" i="22"/>
  <c r="V7" i="17"/>
  <c r="AM7" i="17"/>
  <c r="D9" i="50"/>
  <c r="D10" i="50"/>
  <c r="AH4" i="22"/>
  <c r="AH20" i="22"/>
  <c r="AD6" i="28"/>
  <c r="M22" i="28"/>
  <c r="AO23" i="28"/>
  <c r="AA24" i="28"/>
  <c r="X23" i="28"/>
  <c r="AO22" i="28"/>
  <c r="AD22" i="28"/>
  <c r="J14" i="28"/>
  <c r="F14" i="28"/>
  <c r="D14" i="28"/>
  <c r="E10" i="28"/>
  <c r="E11" i="28"/>
  <c r="F9" i="28"/>
  <c r="X8" i="28"/>
  <c r="AO7" i="28"/>
  <c r="L9" i="50"/>
  <c r="K9" i="50"/>
  <c r="K10" i="50"/>
  <c r="AA8" i="28"/>
  <c r="AA7" i="28"/>
  <c r="J6" i="28"/>
  <c r="F6" i="28"/>
  <c r="D6" i="28"/>
  <c r="AA5" i="28"/>
  <c r="E5" i="28"/>
  <c r="AA4" i="28"/>
  <c r="J4" i="28"/>
  <c r="H10" i="50"/>
  <c r="O8" i="17"/>
  <c r="K8" i="21"/>
  <c r="G4" i="21"/>
  <c r="G4" i="17"/>
  <c r="AA24" i="22"/>
  <c r="X23" i="22"/>
  <c r="AG22" i="22"/>
  <c r="P22" i="22"/>
  <c r="F14" i="22"/>
  <c r="D14" i="22"/>
  <c r="E10" i="22"/>
  <c r="E11" i="22"/>
  <c r="F9" i="22"/>
  <c r="AO7" i="22"/>
  <c r="G9" i="50"/>
  <c r="G10" i="50"/>
  <c r="AA8" i="22"/>
  <c r="AA7" i="22"/>
  <c r="AG6" i="22"/>
  <c r="X6" i="22"/>
  <c r="J6" i="22"/>
  <c r="F6" i="22"/>
  <c r="D6" i="22"/>
  <c r="E5" i="22"/>
  <c r="AA4" i="22"/>
  <c r="C4" i="21"/>
  <c r="N21" i="21"/>
  <c r="K21" i="21"/>
  <c r="Y19" i="21"/>
  <c r="AB19" i="21"/>
  <c r="G16" i="21"/>
  <c r="G15" i="21"/>
  <c r="G14" i="21"/>
  <c r="H14" i="21"/>
  <c r="AM22" i="21"/>
  <c r="Y23" i="21"/>
  <c r="F14" i="21"/>
  <c r="D14" i="21"/>
  <c r="G13" i="21"/>
  <c r="E10" i="21"/>
  <c r="E11" i="21"/>
  <c r="E12" i="21"/>
  <c r="G9" i="21"/>
  <c r="F9" i="21"/>
  <c r="V8" i="21"/>
  <c r="G8" i="21"/>
  <c r="AM7" i="21"/>
  <c r="F9" i="50"/>
  <c r="Y8" i="21"/>
  <c r="Y7" i="21"/>
  <c r="V7" i="21"/>
  <c r="G7" i="21"/>
  <c r="AE6" i="21"/>
  <c r="AB6" i="21"/>
  <c r="V6" i="21"/>
  <c r="G6" i="21"/>
  <c r="H6" i="21"/>
  <c r="F6" i="21"/>
  <c r="D6" i="21"/>
  <c r="K22" i="21"/>
  <c r="E5" i="21"/>
  <c r="E17" i="21"/>
  <c r="F17" i="21"/>
  <c r="H4" i="21"/>
  <c r="V23" i="20"/>
  <c r="AM23" i="20"/>
  <c r="Y24" i="20"/>
  <c r="AE22" i="20"/>
  <c r="AB22" i="20"/>
  <c r="N22" i="20"/>
  <c r="K22" i="20"/>
  <c r="G15" i="20"/>
  <c r="G14" i="20"/>
  <c r="H14" i="20"/>
  <c r="F14" i="20"/>
  <c r="D14" i="20"/>
  <c r="G13" i="20"/>
  <c r="E10" i="20"/>
  <c r="E11" i="20"/>
  <c r="E12" i="20"/>
  <c r="C10" i="20"/>
  <c r="G9" i="20"/>
  <c r="F9" i="20"/>
  <c r="G8" i="20"/>
  <c r="AM7" i="20"/>
  <c r="M9" i="50"/>
  <c r="M10" i="50"/>
  <c r="L10" i="50"/>
  <c r="Y8" i="20"/>
  <c r="Y7" i="20"/>
  <c r="G7" i="20"/>
  <c r="AE6" i="20"/>
  <c r="AB6" i="20"/>
  <c r="V6" i="20"/>
  <c r="F6" i="20"/>
  <c r="E5" i="20"/>
  <c r="Y4" i="20"/>
  <c r="H4" i="20"/>
  <c r="C4" i="17"/>
  <c r="E4" i="17"/>
  <c r="G4" i="18"/>
  <c r="K19" i="18"/>
  <c r="V8" i="18"/>
  <c r="V7" i="18"/>
  <c r="V6" i="18"/>
  <c r="V22" i="18"/>
  <c r="N21" i="18"/>
  <c r="G15" i="18"/>
  <c r="G14" i="18"/>
  <c r="AB22" i="18"/>
  <c r="AM22" i="18"/>
  <c r="Y23" i="18"/>
  <c r="H14" i="18"/>
  <c r="F14" i="18"/>
  <c r="D14" i="18"/>
  <c r="G13" i="18"/>
  <c r="E10" i="18"/>
  <c r="E11" i="18"/>
  <c r="E12" i="18"/>
  <c r="C10" i="18"/>
  <c r="G9" i="18"/>
  <c r="F9" i="18"/>
  <c r="G8" i="18"/>
  <c r="Y26" i="18"/>
  <c r="Y8" i="18"/>
  <c r="Y7" i="18"/>
  <c r="G7" i="18"/>
  <c r="Y20" i="18"/>
  <c r="F6" i="18"/>
  <c r="E5" i="18"/>
  <c r="E17" i="18"/>
  <c r="F17" i="18"/>
  <c r="N22" i="17"/>
  <c r="K22" i="17"/>
  <c r="V6" i="17"/>
  <c r="AM23" i="17"/>
  <c r="Y24" i="17"/>
  <c r="V23" i="17"/>
  <c r="G16" i="17"/>
  <c r="G15" i="17"/>
  <c r="G14" i="17"/>
  <c r="H14" i="17"/>
  <c r="F14" i="17"/>
  <c r="D14" i="17"/>
  <c r="G13" i="17"/>
  <c r="E10" i="17"/>
  <c r="E11" i="17"/>
  <c r="C10" i="17"/>
  <c r="G9" i="17"/>
  <c r="F9" i="17"/>
  <c r="V8" i="17"/>
  <c r="G8" i="17"/>
  <c r="Y8" i="17"/>
  <c r="Y7" i="17"/>
  <c r="G7" i="17"/>
  <c r="G6" i="17"/>
  <c r="Y21" i="17"/>
  <c r="H6" i="17"/>
  <c r="F6" i="17"/>
  <c r="D6" i="17"/>
  <c r="Y5" i="17"/>
  <c r="E5" i="17"/>
  <c r="Y4" i="17"/>
  <c r="H4" i="17"/>
  <c r="M22" i="16"/>
  <c r="AO23" i="16"/>
  <c r="AA24" i="16"/>
  <c r="X23" i="16"/>
  <c r="F14" i="16"/>
  <c r="D14" i="16"/>
  <c r="E10" i="16"/>
  <c r="E11" i="16"/>
  <c r="C10" i="16"/>
  <c r="I10" i="16"/>
  <c r="AO7" i="16"/>
  <c r="C9" i="50"/>
  <c r="C10" i="50"/>
  <c r="F6" i="16"/>
  <c r="D6" i="16"/>
  <c r="AA7" i="4"/>
  <c r="AE6" i="4"/>
  <c r="G17" i="51"/>
  <c r="Z13" i="50" s="1"/>
  <c r="H17" i="51"/>
  <c r="Z12" i="50" s="1"/>
  <c r="B22" i="51"/>
  <c r="B20" i="51"/>
  <c r="B21" i="51"/>
  <c r="Y8" i="46"/>
  <c r="T10" i="50"/>
  <c r="Y8" i="39"/>
  <c r="U10" i="50"/>
  <c r="G11" i="42"/>
  <c r="I10" i="42"/>
  <c r="E11" i="43"/>
  <c r="N21" i="49"/>
  <c r="O21" i="49"/>
  <c r="P21" i="49"/>
  <c r="K21" i="49"/>
  <c r="D24" i="48"/>
  <c r="E17" i="49"/>
  <c r="F17" i="49"/>
  <c r="AD6" i="49"/>
  <c r="AC6" i="49"/>
  <c r="C11" i="49"/>
  <c r="G10" i="49"/>
  <c r="M21" i="49"/>
  <c r="L21" i="49"/>
  <c r="H14" i="38"/>
  <c r="H14" i="37"/>
  <c r="E17" i="47"/>
  <c r="F17" i="47"/>
  <c r="AF6" i="47"/>
  <c r="AE6" i="47"/>
  <c r="O21" i="47"/>
  <c r="N21" i="47"/>
  <c r="AF21" i="47"/>
  <c r="AE21" i="47"/>
  <c r="G6" i="46"/>
  <c r="D6" i="46"/>
  <c r="AD6" i="46"/>
  <c r="AC6" i="46"/>
  <c r="C10" i="46"/>
  <c r="G9" i="46"/>
  <c r="G14" i="46"/>
  <c r="H14" i="46"/>
  <c r="D14" i="46"/>
  <c r="M21" i="46"/>
  <c r="L21" i="46"/>
  <c r="AD21" i="46"/>
  <c r="AC21" i="46"/>
  <c r="I13" i="22"/>
  <c r="AE22" i="4"/>
  <c r="AF22" i="4"/>
  <c r="AK21" i="42"/>
  <c r="AJ21" i="42"/>
  <c r="AI21" i="42"/>
  <c r="G6" i="44"/>
  <c r="Y20" i="44" s="1"/>
  <c r="D6" i="44"/>
  <c r="AD6" i="44"/>
  <c r="AC6" i="44"/>
  <c r="C10" i="44"/>
  <c r="G9" i="44"/>
  <c r="M21" i="44"/>
  <c r="L21" i="44"/>
  <c r="AD21" i="44"/>
  <c r="AC21" i="44"/>
  <c r="C11" i="43"/>
  <c r="C11" i="42"/>
  <c r="E17" i="41"/>
  <c r="F17" i="41"/>
  <c r="AD6" i="41"/>
  <c r="AC6" i="41"/>
  <c r="C11" i="41"/>
  <c r="G10" i="41"/>
  <c r="M21" i="41"/>
  <c r="L21" i="41"/>
  <c r="AD21" i="41"/>
  <c r="AC21" i="41"/>
  <c r="N21" i="40"/>
  <c r="M21" i="40"/>
  <c r="O21" i="40"/>
  <c r="AF21" i="40"/>
  <c r="E17" i="39"/>
  <c r="F17" i="39"/>
  <c r="AD6" i="39"/>
  <c r="AC6" i="39"/>
  <c r="C11" i="39"/>
  <c r="G10" i="39"/>
  <c r="M21" i="39"/>
  <c r="L21" i="39"/>
  <c r="AD21" i="39"/>
  <c r="AC21" i="39"/>
  <c r="E18" i="38"/>
  <c r="F18" i="38"/>
  <c r="AD6" i="38"/>
  <c r="AC6" i="38"/>
  <c r="C11" i="38"/>
  <c r="G10" i="38"/>
  <c r="M22" i="38"/>
  <c r="L22" i="38"/>
  <c r="AD22" i="38"/>
  <c r="AC22" i="38"/>
  <c r="AD6" i="37"/>
  <c r="AC6" i="37"/>
  <c r="C11" i="37"/>
  <c r="G10" i="37"/>
  <c r="AD22" i="37"/>
  <c r="AC22" i="37"/>
  <c r="C11" i="36"/>
  <c r="G10" i="36"/>
  <c r="M22" i="36"/>
  <c r="L22" i="36"/>
  <c r="E4" i="34"/>
  <c r="G4" i="34"/>
  <c r="AD6" i="34"/>
  <c r="AE6" i="34"/>
  <c r="AC6" i="34"/>
  <c r="G10" i="34"/>
  <c r="M22" i="34"/>
  <c r="N22" i="34"/>
  <c r="L22" i="34"/>
  <c r="D6" i="33"/>
  <c r="AD6" i="33"/>
  <c r="AE6" i="33"/>
  <c r="AF6" i="33"/>
  <c r="AC6" i="33"/>
  <c r="C10" i="33"/>
  <c r="G9" i="33"/>
  <c r="M21" i="33"/>
  <c r="N21" i="33"/>
  <c r="O21" i="33"/>
  <c r="L21" i="33"/>
  <c r="G10" i="22"/>
  <c r="Y23" i="32"/>
  <c r="E17" i="32"/>
  <c r="F17" i="32"/>
  <c r="G6" i="32"/>
  <c r="D6" i="32"/>
  <c r="C10" i="32"/>
  <c r="G9" i="32"/>
  <c r="AD6" i="31"/>
  <c r="AE6" i="31"/>
  <c r="AC6" i="31"/>
  <c r="M22" i="31"/>
  <c r="N22" i="31"/>
  <c r="L22" i="31"/>
  <c r="AD22" i="31"/>
  <c r="AE22" i="31"/>
  <c r="AC22" i="31"/>
  <c r="P21" i="30"/>
  <c r="AG21" i="30"/>
  <c r="V22" i="21"/>
  <c r="Y20" i="21"/>
  <c r="AF6" i="28"/>
  <c r="AG6" i="28"/>
  <c r="AH6" i="28"/>
  <c r="AE6" i="28"/>
  <c r="C11" i="28"/>
  <c r="O22" i="28"/>
  <c r="P22" i="28"/>
  <c r="Q22" i="28"/>
  <c r="N22" i="28"/>
  <c r="AF22" i="28"/>
  <c r="AG22" i="28"/>
  <c r="AH22" i="28"/>
  <c r="AE22" i="28"/>
  <c r="AF6" i="22"/>
  <c r="AE6" i="22"/>
  <c r="O22" i="22"/>
  <c r="N22" i="22"/>
  <c r="AF22" i="22"/>
  <c r="AE22" i="22"/>
  <c r="F9" i="16"/>
  <c r="AD6" i="21"/>
  <c r="AC6" i="21"/>
  <c r="C11" i="21"/>
  <c r="G10" i="21"/>
  <c r="M21" i="21"/>
  <c r="L21" i="21"/>
  <c r="E18" i="20"/>
  <c r="F18" i="20"/>
  <c r="G6" i="20"/>
  <c r="Y21" i="20"/>
  <c r="D6" i="20"/>
  <c r="AD6" i="20"/>
  <c r="AC6" i="20"/>
  <c r="C11" i="20"/>
  <c r="G10" i="20"/>
  <c r="M22" i="20"/>
  <c r="L22" i="20"/>
  <c r="AD22" i="20"/>
  <c r="AC22" i="20"/>
  <c r="G6" i="18"/>
  <c r="D6" i="18"/>
  <c r="C11" i="18"/>
  <c r="G10" i="18"/>
  <c r="M21" i="18"/>
  <c r="L21" i="18"/>
  <c r="C11" i="16"/>
  <c r="I11" i="16"/>
  <c r="I12" i="16"/>
  <c r="E18" i="17"/>
  <c r="F18" i="17"/>
  <c r="AD6" i="17"/>
  <c r="AC6" i="17"/>
  <c r="C11" i="17"/>
  <c r="G10" i="17"/>
  <c r="M22" i="17"/>
  <c r="L22" i="17"/>
  <c r="AD22" i="17"/>
  <c r="AC22" i="17"/>
  <c r="AA7" i="16"/>
  <c r="AF6" i="16"/>
  <c r="AE6" i="16"/>
  <c r="D9" i="16"/>
  <c r="E5" i="16"/>
  <c r="O22" i="16"/>
  <c r="AF22" i="16"/>
  <c r="C5" i="16"/>
  <c r="N22" i="16"/>
  <c r="P22" i="16"/>
  <c r="AE22" i="16"/>
  <c r="AF6" i="4"/>
  <c r="G12" i="42"/>
  <c r="I11" i="42"/>
  <c r="H9" i="42"/>
  <c r="G5" i="42"/>
  <c r="G17" i="42"/>
  <c r="H17" i="42"/>
  <c r="G12" i="49"/>
  <c r="G11" i="49"/>
  <c r="D9" i="49"/>
  <c r="C5" i="49"/>
  <c r="C17" i="49"/>
  <c r="D17" i="49"/>
  <c r="G10" i="46"/>
  <c r="C11" i="46"/>
  <c r="H6" i="46"/>
  <c r="I9" i="22"/>
  <c r="C10" i="22"/>
  <c r="E12" i="34"/>
  <c r="G10" i="44"/>
  <c r="C11" i="44"/>
  <c r="H6" i="44"/>
  <c r="D9" i="43"/>
  <c r="C5" i="43"/>
  <c r="I12" i="42"/>
  <c r="D9" i="42"/>
  <c r="C5" i="42"/>
  <c r="C17" i="42"/>
  <c r="D17" i="42"/>
  <c r="G12" i="41"/>
  <c r="G11" i="41"/>
  <c r="D9" i="41"/>
  <c r="C5" i="41"/>
  <c r="C17" i="41"/>
  <c r="D17" i="41"/>
  <c r="J6" i="40"/>
  <c r="G12" i="39"/>
  <c r="G11" i="39"/>
  <c r="D9" i="39"/>
  <c r="C5" i="39"/>
  <c r="C17" i="39"/>
  <c r="D17" i="39"/>
  <c r="G12" i="38"/>
  <c r="G11" i="38"/>
  <c r="D9" i="38"/>
  <c r="C5" i="38"/>
  <c r="C18" i="38"/>
  <c r="D18" i="38"/>
  <c r="G11" i="37"/>
  <c r="G12" i="36"/>
  <c r="G11" i="36"/>
  <c r="D9" i="36"/>
  <c r="C5" i="36"/>
  <c r="C12" i="34"/>
  <c r="G12" i="34"/>
  <c r="G11" i="34"/>
  <c r="G5" i="34"/>
  <c r="D9" i="34"/>
  <c r="C5" i="34"/>
  <c r="C18" i="34"/>
  <c r="D18" i="34"/>
  <c r="G10" i="33"/>
  <c r="C11" i="33"/>
  <c r="H6" i="33"/>
  <c r="E18" i="22"/>
  <c r="F18" i="22"/>
  <c r="G11" i="22"/>
  <c r="G14" i="32"/>
  <c r="H14" i="32"/>
  <c r="D14" i="32"/>
  <c r="G10" i="32"/>
  <c r="C11" i="32"/>
  <c r="H6" i="32"/>
  <c r="D9" i="31"/>
  <c r="C5" i="31"/>
  <c r="D9" i="28"/>
  <c r="C5" i="28"/>
  <c r="G12" i="21"/>
  <c r="G11" i="21"/>
  <c r="D9" i="21"/>
  <c r="C5" i="21"/>
  <c r="C17" i="21"/>
  <c r="F13" i="50" s="1"/>
  <c r="D17" i="21"/>
  <c r="G12" i="20"/>
  <c r="G11" i="20"/>
  <c r="H9" i="20"/>
  <c r="D9" i="20"/>
  <c r="C5" i="20"/>
  <c r="C18" i="20"/>
  <c r="D18" i="20"/>
  <c r="H6" i="20"/>
  <c r="G12" i="18"/>
  <c r="G11" i="18"/>
  <c r="H9" i="18"/>
  <c r="D9" i="18"/>
  <c r="C5" i="18"/>
  <c r="C17" i="18"/>
  <c r="D17" i="18"/>
  <c r="H6" i="18"/>
  <c r="G5" i="18"/>
  <c r="E16" i="50"/>
  <c r="G12" i="17"/>
  <c r="G11" i="17"/>
  <c r="D9" i="17"/>
  <c r="C5" i="17"/>
  <c r="C18" i="17"/>
  <c r="D18" i="17"/>
  <c r="F14" i="4"/>
  <c r="F6" i="4"/>
  <c r="D14" i="4"/>
  <c r="D6" i="4"/>
  <c r="H9" i="49"/>
  <c r="G12" i="46"/>
  <c r="G11" i="46"/>
  <c r="G5" i="46"/>
  <c r="V16" i="50" s="1"/>
  <c r="V14" i="50" s="1"/>
  <c r="V17" i="50" s="1"/>
  <c r="D9" i="46"/>
  <c r="C5" i="46"/>
  <c r="C17" i="46"/>
  <c r="D17" i="46"/>
  <c r="H9" i="46"/>
  <c r="B21" i="46"/>
  <c r="C11" i="22"/>
  <c r="I10" i="22"/>
  <c r="F9" i="34"/>
  <c r="E5" i="34"/>
  <c r="E18" i="34"/>
  <c r="F18" i="34"/>
  <c r="G12" i="44"/>
  <c r="G11" i="44"/>
  <c r="G5" i="44"/>
  <c r="S16" i="50" s="1"/>
  <c r="D9" i="44"/>
  <c r="C5" i="44"/>
  <c r="H9" i="44"/>
  <c r="B21" i="44"/>
  <c r="I5" i="42"/>
  <c r="Q16" i="50"/>
  <c r="J9" i="42"/>
  <c r="B21" i="42"/>
  <c r="G5" i="41"/>
  <c r="U16" i="50" s="1"/>
  <c r="H9" i="41"/>
  <c r="AN3" i="41" s="1"/>
  <c r="AN4" i="41" s="1"/>
  <c r="B21" i="41"/>
  <c r="G5" i="39"/>
  <c r="W16" i="50" s="1"/>
  <c r="W14" i="50" s="1"/>
  <c r="W17" i="50" s="1"/>
  <c r="U14" i="50"/>
  <c r="U17" i="50"/>
  <c r="H9" i="39"/>
  <c r="B21" i="39"/>
  <c r="H9" i="38"/>
  <c r="H9" i="36"/>
  <c r="H9" i="34"/>
  <c r="B22" i="34"/>
  <c r="G12" i="33"/>
  <c r="G11" i="33"/>
  <c r="D9" i="33"/>
  <c r="C5" i="33"/>
  <c r="C17" i="33"/>
  <c r="D17" i="33"/>
  <c r="H9" i="33"/>
  <c r="G12" i="22"/>
  <c r="H9" i="22"/>
  <c r="G5" i="22"/>
  <c r="G18" i="22"/>
  <c r="H18" i="22"/>
  <c r="G12" i="32"/>
  <c r="G11" i="32"/>
  <c r="D9" i="32"/>
  <c r="C5" i="32"/>
  <c r="C17" i="32"/>
  <c r="D17" i="32"/>
  <c r="H9" i="32"/>
  <c r="H9" i="31"/>
  <c r="D9" i="30"/>
  <c r="C5" i="30"/>
  <c r="C17" i="30"/>
  <c r="D17" i="30"/>
  <c r="G5" i="21"/>
  <c r="F16" i="50"/>
  <c r="F14" i="50"/>
  <c r="F17" i="50"/>
  <c r="H9" i="21"/>
  <c r="B21" i="21"/>
  <c r="G17" i="18"/>
  <c r="B22" i="18"/>
  <c r="B20" i="18"/>
  <c r="B21" i="18"/>
  <c r="H9" i="17"/>
  <c r="AN7" i="17" s="1"/>
  <c r="AN8" i="17" s="1"/>
  <c r="J6" i="4"/>
  <c r="E10" i="4"/>
  <c r="C10" i="4"/>
  <c r="G17" i="46"/>
  <c r="V13" i="50" s="1"/>
  <c r="H17" i="46"/>
  <c r="V12" i="50" s="1"/>
  <c r="B22" i="46"/>
  <c r="B20" i="46"/>
  <c r="I12" i="22"/>
  <c r="D9" i="22"/>
  <c r="C5" i="22"/>
  <c r="C18" i="22"/>
  <c r="D18" i="22"/>
  <c r="I11" i="22"/>
  <c r="J9" i="22"/>
  <c r="G17" i="44"/>
  <c r="S13" i="50" s="1"/>
  <c r="S14" i="50"/>
  <c r="S17" i="50"/>
  <c r="H17" i="44"/>
  <c r="S12" i="50" s="1"/>
  <c r="B22" i="44"/>
  <c r="B20" i="44"/>
  <c r="I17" i="42"/>
  <c r="Q13" i="50" s="1"/>
  <c r="J17" i="42"/>
  <c r="Q12" i="50"/>
  <c r="B20" i="42"/>
  <c r="B22" i="42"/>
  <c r="G17" i="41"/>
  <c r="U13" i="50" s="1"/>
  <c r="H17" i="41"/>
  <c r="U12" i="50" s="1"/>
  <c r="B20" i="41"/>
  <c r="B22" i="41"/>
  <c r="G17" i="39"/>
  <c r="W13" i="50" s="1"/>
  <c r="H17" i="39"/>
  <c r="B20" i="39"/>
  <c r="B22" i="39"/>
  <c r="B21" i="34"/>
  <c r="B23" i="34"/>
  <c r="G18" i="34"/>
  <c r="H18" i="34"/>
  <c r="G17" i="21"/>
  <c r="H17" i="21"/>
  <c r="B20" i="21"/>
  <c r="B22" i="21"/>
  <c r="E11" i="4"/>
  <c r="C11" i="4"/>
  <c r="E4" i="48"/>
  <c r="E16" i="48"/>
  <c r="E18" i="48"/>
  <c r="E15" i="48"/>
  <c r="I12" i="4"/>
  <c r="E5" i="4"/>
  <c r="F9" i="4"/>
  <c r="C5" i="4"/>
  <c r="D9" i="4"/>
  <c r="E5" i="50"/>
  <c r="E15" i="50"/>
  <c r="E14" i="50"/>
  <c r="E17" i="50"/>
  <c r="N38" i="31"/>
  <c r="M38" i="31"/>
  <c r="AA21" i="16"/>
  <c r="D19" i="48"/>
  <c r="E10" i="50"/>
  <c r="I11" i="4"/>
  <c r="I10" i="4"/>
  <c r="J9" i="4"/>
  <c r="AP7" i="4" s="1"/>
  <c r="AP8" i="4" s="1"/>
  <c r="AA8" i="16"/>
  <c r="AO23" i="4"/>
  <c r="AA24" i="4"/>
  <c r="AK22" i="4"/>
  <c r="AJ22" i="4"/>
  <c r="AI22" i="4"/>
  <c r="AH22" i="4"/>
  <c r="AK6" i="4"/>
  <c r="AJ6" i="4"/>
  <c r="AI6" i="4"/>
  <c r="AH6" i="4"/>
  <c r="AL22" i="16"/>
  <c r="AK22" i="16"/>
  <c r="AJ22" i="16"/>
  <c r="AI22" i="16"/>
  <c r="AH22" i="16"/>
  <c r="AG22" i="16"/>
  <c r="AL6" i="16"/>
  <c r="AK6" i="16"/>
  <c r="AJ6" i="16"/>
  <c r="AI6" i="16"/>
  <c r="AH6" i="16"/>
  <c r="AG6" i="16"/>
  <c r="E18" i="4"/>
  <c r="F18" i="4"/>
  <c r="C18" i="4"/>
  <c r="D18" i="4"/>
  <c r="J9" i="16"/>
  <c r="AP7" i="16" s="1"/>
  <c r="AP8" i="16" s="1"/>
  <c r="J6" i="16"/>
  <c r="I5" i="16"/>
  <c r="I18" i="16"/>
  <c r="C13" i="50" s="1"/>
  <c r="J18" i="16"/>
  <c r="Y8" i="53"/>
  <c r="H5" i="53"/>
  <c r="V10" i="50"/>
  <c r="J5" i="47"/>
  <c r="AG6" i="43"/>
  <c r="AF6" i="43"/>
  <c r="AE6" i="43"/>
  <c r="P21" i="43"/>
  <c r="O21" i="43"/>
  <c r="N21" i="43"/>
  <c r="AK6" i="42"/>
  <c r="AJ6" i="42"/>
  <c r="AI6" i="42"/>
  <c r="T21" i="42"/>
  <c r="S21" i="42"/>
  <c r="R21" i="42"/>
  <c r="G5" i="38"/>
  <c r="O16" i="50"/>
  <c r="O14" i="50"/>
  <c r="O17" i="50"/>
  <c r="E4" i="36"/>
  <c r="E18" i="36"/>
  <c r="F18" i="36"/>
  <c r="C18" i="36"/>
  <c r="D18" i="36"/>
  <c r="G5" i="36"/>
  <c r="N16" i="50"/>
  <c r="G5" i="20"/>
  <c r="M16" i="50"/>
  <c r="Y5" i="33"/>
  <c r="Y8" i="32"/>
  <c r="D4" i="32"/>
  <c r="H4" i="32"/>
  <c r="J14" i="22"/>
  <c r="I5" i="22"/>
  <c r="F12" i="50"/>
  <c r="E26" i="48"/>
  <c r="G5" i="17"/>
  <c r="J14" i="4"/>
  <c r="I5" i="4"/>
  <c r="V8" i="52"/>
  <c r="Y5" i="52"/>
  <c r="Z10" i="50"/>
  <c r="AG21" i="43"/>
  <c r="AF21" i="43"/>
  <c r="AE21" i="43"/>
  <c r="V22" i="52"/>
  <c r="Y20" i="52"/>
  <c r="Y8" i="52"/>
  <c r="Y10" i="50"/>
  <c r="F48" i="52"/>
  <c r="F50" i="52"/>
  <c r="E50" i="52"/>
  <c r="F49" i="52"/>
  <c r="Y5" i="50"/>
  <c r="Y15" i="50"/>
  <c r="Z5" i="50"/>
  <c r="Z15" i="50"/>
  <c r="Z14" i="50"/>
  <c r="Z17" i="50"/>
  <c r="E17" i="53"/>
  <c r="F17" i="53"/>
  <c r="G6" i="53"/>
  <c r="D6" i="53"/>
  <c r="AD6" i="53"/>
  <c r="AE6" i="53"/>
  <c r="AF6" i="53"/>
  <c r="AG6" i="53"/>
  <c r="AC6" i="53"/>
  <c r="C11" i="53"/>
  <c r="G10" i="53"/>
  <c r="M21" i="53"/>
  <c r="N21" i="53"/>
  <c r="O21" i="53"/>
  <c r="L21" i="53"/>
  <c r="AD21" i="53"/>
  <c r="AE21" i="53"/>
  <c r="AF21" i="53"/>
  <c r="AC21" i="53"/>
  <c r="E50" i="53"/>
  <c r="F50" i="53"/>
  <c r="G6" i="52"/>
  <c r="D6" i="52"/>
  <c r="AD6" i="52"/>
  <c r="AE6" i="52"/>
  <c r="AF6" i="52"/>
  <c r="AG6" i="52"/>
  <c r="AC6" i="52"/>
  <c r="C11" i="52"/>
  <c r="G10" i="52"/>
  <c r="M21" i="52"/>
  <c r="N21" i="52"/>
  <c r="O21" i="52"/>
  <c r="L21" i="52"/>
  <c r="AD21" i="52"/>
  <c r="AE21" i="52"/>
  <c r="AF21" i="52"/>
  <c r="AC21" i="52"/>
  <c r="E10" i="48"/>
  <c r="B9" i="50"/>
  <c r="B10" i="50"/>
  <c r="AA8" i="4"/>
  <c r="N14" i="50"/>
  <c r="N17" i="50"/>
  <c r="B22" i="38"/>
  <c r="G18" i="38"/>
  <c r="O13" i="50" s="1"/>
  <c r="H18" i="38"/>
  <c r="O12" i="50" s="1"/>
  <c r="B21" i="38"/>
  <c r="B23" i="38"/>
  <c r="G18" i="36"/>
  <c r="N13" i="50" s="1"/>
  <c r="H18" i="36"/>
  <c r="N12" i="50"/>
  <c r="B22" i="36"/>
  <c r="B21" i="36"/>
  <c r="B23" i="36"/>
  <c r="G18" i="20"/>
  <c r="M13" i="50" s="1"/>
  <c r="H18" i="20"/>
  <c r="M12" i="50" s="1"/>
  <c r="B23" i="20"/>
  <c r="B21" i="20"/>
  <c r="B22" i="20"/>
  <c r="B22" i="31"/>
  <c r="B21" i="31"/>
  <c r="B23" i="31"/>
  <c r="G16" i="50"/>
  <c r="G14" i="50"/>
  <c r="G17" i="50"/>
  <c r="I18" i="22"/>
  <c r="G13" i="50" s="1"/>
  <c r="J18" i="22"/>
  <c r="B21" i="22"/>
  <c r="B23" i="22"/>
  <c r="B22" i="22"/>
  <c r="D16" i="50"/>
  <c r="D14" i="50"/>
  <c r="D17" i="50"/>
  <c r="B22" i="17"/>
  <c r="G18" i="17"/>
  <c r="D13" i="50" s="1"/>
  <c r="B21" i="17"/>
  <c r="B23" i="17"/>
  <c r="C16" i="50"/>
  <c r="C14" i="50"/>
  <c r="C17" i="50"/>
  <c r="B22" i="16"/>
  <c r="B23" i="16"/>
  <c r="B21" i="16"/>
  <c r="B16" i="50"/>
  <c r="B14" i="50"/>
  <c r="B17" i="50"/>
  <c r="B22" i="4"/>
  <c r="B21" i="4"/>
  <c r="I18" i="4"/>
  <c r="B13" i="50" s="1"/>
  <c r="J18" i="4"/>
  <c r="B23" i="4"/>
  <c r="F6" i="52"/>
  <c r="E5" i="52"/>
  <c r="E17" i="52"/>
  <c r="F17" i="52"/>
  <c r="C12" i="53"/>
  <c r="G12" i="53"/>
  <c r="G11" i="53"/>
  <c r="H9" i="53"/>
  <c r="D9" i="53"/>
  <c r="C5" i="53"/>
  <c r="C17" i="53"/>
  <c r="D17" i="53"/>
  <c r="H6" i="53"/>
  <c r="G5" i="53"/>
  <c r="C12" i="52"/>
  <c r="G12" i="52"/>
  <c r="G11" i="52"/>
  <c r="H9" i="52"/>
  <c r="D9" i="52"/>
  <c r="C5" i="52"/>
  <c r="C17" i="52"/>
  <c r="D17" i="52"/>
  <c r="H6" i="52"/>
  <c r="G5" i="52"/>
  <c r="H18" i="17"/>
  <c r="AO17" i="18"/>
  <c r="AP17" i="18"/>
  <c r="E20" i="48"/>
  <c r="E27" i="48"/>
  <c r="E14" i="48"/>
  <c r="G12" i="50"/>
  <c r="E6" i="48"/>
  <c r="D12" i="50"/>
  <c r="E21" i="48"/>
  <c r="B12" i="50"/>
  <c r="E12" i="48"/>
  <c r="G17" i="53"/>
  <c r="B22" i="53"/>
  <c r="B20" i="53"/>
  <c r="B21" i="53"/>
  <c r="G17" i="52"/>
  <c r="B22" i="52"/>
  <c r="B20" i="52"/>
  <c r="B21" i="52"/>
  <c r="H17" i="52"/>
  <c r="H17" i="53"/>
  <c r="E7" i="48"/>
  <c r="C12" i="50"/>
  <c r="C18" i="16"/>
  <c r="D18" i="16"/>
  <c r="E4" i="16"/>
  <c r="G4" i="16"/>
  <c r="G18" i="16"/>
  <c r="H18" i="16"/>
  <c r="E18" i="16"/>
  <c r="F18" i="16"/>
  <c r="AM23" i="36"/>
  <c r="Y24" i="36"/>
  <c r="I13" i="40"/>
  <c r="C5" i="40"/>
  <c r="C17" i="40"/>
  <c r="D17" i="40"/>
  <c r="D9" i="40"/>
  <c r="A44" i="43"/>
  <c r="D40" i="34"/>
  <c r="E40" i="34"/>
  <c r="E37" i="34"/>
  <c r="M14" i="50"/>
  <c r="M17" i="50"/>
  <c r="N9" i="50"/>
  <c r="N10" i="50"/>
  <c r="Y8" i="36"/>
  <c r="Y21" i="36"/>
  <c r="Y20" i="32"/>
  <c r="AA21" i="28"/>
  <c r="G10" i="28"/>
  <c r="I10" i="28"/>
  <c r="AQ22" i="30"/>
  <c r="AC23" i="30"/>
  <c r="I10" i="30"/>
  <c r="K10" i="30"/>
  <c r="J16" i="50"/>
  <c r="C4" i="28"/>
  <c r="C18" i="28"/>
  <c r="D18" i="28"/>
  <c r="E18" i="28"/>
  <c r="F18" i="28"/>
  <c r="G5" i="32"/>
  <c r="G5" i="33"/>
  <c r="I16" i="50"/>
  <c r="I14" i="50"/>
  <c r="I17" i="50"/>
  <c r="G17" i="32"/>
  <c r="I13" i="50" s="1"/>
  <c r="H17" i="32"/>
  <c r="I9" i="40"/>
  <c r="E10" i="40"/>
  <c r="I10" i="40"/>
  <c r="E11" i="40"/>
  <c r="R3" i="50"/>
  <c r="B9" i="48"/>
  <c r="G11" i="28"/>
  <c r="I11" i="28"/>
  <c r="I11" i="30"/>
  <c r="K11" i="30"/>
  <c r="B21" i="32"/>
  <c r="B22" i="32"/>
  <c r="B20" i="32"/>
  <c r="K16" i="50"/>
  <c r="K14" i="50"/>
  <c r="K17" i="50"/>
  <c r="B21" i="33"/>
  <c r="G17" i="33"/>
  <c r="K13" i="50" s="1"/>
  <c r="H17" i="33"/>
  <c r="E11" i="48"/>
  <c r="B22" i="33"/>
  <c r="B20" i="33"/>
  <c r="E3" i="48"/>
  <c r="I12" i="50"/>
  <c r="I11" i="40"/>
  <c r="C17" i="43"/>
  <c r="D17" i="43"/>
  <c r="I12" i="28"/>
  <c r="H9" i="28"/>
  <c r="G5" i="28"/>
  <c r="G18" i="28"/>
  <c r="H18" i="28"/>
  <c r="K12" i="30"/>
  <c r="J9" i="30"/>
  <c r="I5" i="30"/>
  <c r="I17" i="30"/>
  <c r="J17" i="30"/>
  <c r="I12" i="40"/>
  <c r="F9" i="40"/>
  <c r="E5" i="40"/>
  <c r="E17" i="40"/>
  <c r="F17" i="40"/>
  <c r="J9" i="28"/>
  <c r="I5" i="28"/>
  <c r="K5" i="30"/>
  <c r="L9" i="30"/>
  <c r="B21" i="30"/>
  <c r="I5" i="40"/>
  <c r="J9" i="40"/>
  <c r="B21" i="40"/>
  <c r="I18" i="28"/>
  <c r="L13" i="50" s="1"/>
  <c r="B21" i="28"/>
  <c r="B23" i="28"/>
  <c r="B22" i="28"/>
  <c r="H16" i="50"/>
  <c r="H14" i="50"/>
  <c r="H17" i="50"/>
  <c r="K17" i="30"/>
  <c r="H13" i="50" s="1"/>
  <c r="L17" i="30"/>
  <c r="B20" i="30"/>
  <c r="B22" i="30"/>
  <c r="P16" i="50"/>
  <c r="P14" i="50"/>
  <c r="P17" i="50"/>
  <c r="I17" i="40"/>
  <c r="P13" i="50" s="1"/>
  <c r="J17" i="40"/>
  <c r="P12" i="50" s="1"/>
  <c r="B22" i="40"/>
  <c r="B20" i="40"/>
  <c r="L16" i="50"/>
  <c r="L14" i="50"/>
  <c r="L17" i="50"/>
  <c r="J18" i="28"/>
  <c r="H12" i="50"/>
  <c r="E19" i="48"/>
  <c r="E23" i="48"/>
  <c r="L12" i="50"/>
  <c r="K12" i="50"/>
  <c r="E17" i="48"/>
  <c r="T21" i="50" l="1"/>
  <c r="Y24" i="37"/>
  <c r="AG22" i="37"/>
  <c r="AF22" i="37"/>
  <c r="AG6" i="37"/>
  <c r="AF6" i="37"/>
  <c r="B13" i="48"/>
  <c r="D13" i="48" s="1"/>
  <c r="C12" i="54"/>
  <c r="C5" i="54" s="1"/>
  <c r="G4" i="48"/>
  <c r="G19" i="48"/>
  <c r="E4" i="37"/>
  <c r="E12" i="37" s="1"/>
  <c r="C4" i="37"/>
  <c r="C12" i="37" s="1"/>
  <c r="G5" i="49"/>
  <c r="E13" i="50"/>
  <c r="H17" i="18"/>
  <c r="AA8" i="54"/>
  <c r="AA9" i="50"/>
  <c r="AA10" i="50" s="1"/>
  <c r="G20" i="48"/>
  <c r="G27" i="48"/>
  <c r="G26" i="48"/>
  <c r="G14" i="48"/>
  <c r="G23" i="48"/>
  <c r="G18" i="48"/>
  <c r="G16" i="48"/>
  <c r="G7" i="48"/>
  <c r="G6" i="48"/>
  <c r="AA5" i="50"/>
  <c r="AA15" i="50" s="1"/>
  <c r="I6" i="54"/>
  <c r="D6" i="54"/>
  <c r="AG6" i="54"/>
  <c r="AF6" i="54"/>
  <c r="AE6" i="54"/>
  <c r="I9" i="54"/>
  <c r="I14" i="54"/>
  <c r="J14" i="54" s="1"/>
  <c r="D14" i="54"/>
  <c r="P21" i="54"/>
  <c r="O21" i="54"/>
  <c r="N21" i="54"/>
  <c r="AG21" i="54"/>
  <c r="AF21" i="54"/>
  <c r="AE21" i="54"/>
  <c r="C9" i="47"/>
  <c r="I13" i="47"/>
  <c r="AA56" i="47"/>
  <c r="AA11" i="47" s="1"/>
  <c r="Q10" i="50"/>
  <c r="AI6" i="41"/>
  <c r="AH6" i="41"/>
  <c r="AE6" i="41"/>
  <c r="AI21" i="41"/>
  <c r="AH21" i="41"/>
  <c r="AE21" i="41"/>
  <c r="AG21" i="41"/>
  <c r="AF21" i="41"/>
  <c r="Y20" i="49"/>
  <c r="E48" i="31"/>
  <c r="E57" i="31"/>
  <c r="F55" i="31"/>
  <c r="F57" i="31" s="1"/>
  <c r="D40" i="31"/>
  <c r="Y10" i="31" s="1"/>
  <c r="M40" i="31"/>
  <c r="E40" i="31"/>
  <c r="F39" i="31"/>
  <c r="G40" i="31"/>
  <c r="H39" i="31"/>
  <c r="H40" i="31" s="1"/>
  <c r="K40" i="31"/>
  <c r="L39" i="31"/>
  <c r="L40" i="31" s="1"/>
  <c r="N8" i="31"/>
  <c r="V8" i="31" s="1"/>
  <c r="Y5" i="31" s="1"/>
  <c r="AF6" i="49"/>
  <c r="AE6" i="49"/>
  <c r="D49" i="43"/>
  <c r="B39" i="43"/>
  <c r="C49" i="43"/>
  <c r="D61" i="43" s="1"/>
  <c r="D39" i="43"/>
  <c r="I37" i="43"/>
  <c r="E37" i="43"/>
  <c r="E5" i="48"/>
  <c r="W12" i="50"/>
  <c r="E4" i="44"/>
  <c r="E17" i="44" s="1"/>
  <c r="F17" i="44" s="1"/>
  <c r="C4" i="44"/>
  <c r="C17" i="44" s="1"/>
  <c r="D17" i="44" s="1"/>
  <c r="P9" i="50"/>
  <c r="P10" i="50" s="1"/>
  <c r="Q15" i="50"/>
  <c r="Q14" i="50" s="1"/>
  <c r="Q17" i="50" s="1"/>
  <c r="T15" i="50"/>
  <c r="T19" i="50"/>
  <c r="T22" i="50" s="1"/>
  <c r="G12" i="37" l="1"/>
  <c r="D9" i="37"/>
  <c r="C5" i="37"/>
  <c r="C18" i="37" s="1"/>
  <c r="D18" i="37" s="1"/>
  <c r="E5" i="37"/>
  <c r="E18" i="37" s="1"/>
  <c r="F18" i="37" s="1"/>
  <c r="Y16" i="50"/>
  <c r="Y14" i="50" s="1"/>
  <c r="Y17" i="50" s="1"/>
  <c r="B21" i="49"/>
  <c r="G17" i="49"/>
  <c r="B20" i="49"/>
  <c r="B22" i="49"/>
  <c r="E2" i="48"/>
  <c r="E12" i="50"/>
  <c r="X4" i="50"/>
  <c r="X5" i="50" s="1"/>
  <c r="X15" i="50" s="1"/>
  <c r="I4" i="47"/>
  <c r="G4" i="47" s="1"/>
  <c r="P8" i="47"/>
  <c r="X8" i="47" s="1"/>
  <c r="AA5" i="47" s="1"/>
  <c r="C25" i="48"/>
  <c r="D25" i="48" s="1"/>
  <c r="G3" i="48"/>
  <c r="G5" i="48"/>
  <c r="I10" i="54"/>
  <c r="AA20" i="54"/>
  <c r="J6" i="54"/>
  <c r="I9" i="47"/>
  <c r="C10" i="47"/>
  <c r="I10" i="47" s="1"/>
  <c r="C11" i="47"/>
  <c r="F40" i="31"/>
  <c r="N39" i="31"/>
  <c r="N40" i="31" s="1"/>
  <c r="G4" i="31"/>
  <c r="J3" i="50"/>
  <c r="J5" i="50" s="1"/>
  <c r="J15" i="50" s="1"/>
  <c r="J14" i="50" s="1"/>
  <c r="J17" i="50" s="1"/>
  <c r="B8" i="48"/>
  <c r="D8" i="48" s="1"/>
  <c r="I39" i="43"/>
  <c r="C50" i="43"/>
  <c r="E39" i="43"/>
  <c r="G12" i="47" l="1"/>
  <c r="G5" i="37"/>
  <c r="H9" i="37"/>
  <c r="B22" i="37" s="1"/>
  <c r="Y13" i="50"/>
  <c r="H17" i="49"/>
  <c r="I11" i="54"/>
  <c r="D9" i="54"/>
  <c r="F9" i="54"/>
  <c r="E5" i="54"/>
  <c r="I11" i="47"/>
  <c r="C4" i="31"/>
  <c r="G18" i="31"/>
  <c r="C51" i="43"/>
  <c r="D52" i="43" s="1"/>
  <c r="C55" i="43"/>
  <c r="C61" i="43" s="1"/>
  <c r="H9" i="47" l="1"/>
  <c r="G5" i="47"/>
  <c r="G17" i="47" s="1"/>
  <c r="H17" i="47" s="1"/>
  <c r="T16" i="50"/>
  <c r="T14" i="50" s="1"/>
  <c r="T17" i="50" s="1"/>
  <c r="G18" i="37"/>
  <c r="B21" i="37"/>
  <c r="B23" i="37"/>
  <c r="Y12" i="50"/>
  <c r="E24" i="48"/>
  <c r="H18" i="31"/>
  <c r="J13" i="50"/>
  <c r="I5" i="54"/>
  <c r="AA16" i="50" s="1"/>
  <c r="AA14" i="50" s="1"/>
  <c r="AA17" i="50" s="1"/>
  <c r="C17" i="54"/>
  <c r="D17" i="54" s="1"/>
  <c r="I12" i="54"/>
  <c r="J9" i="54" s="1"/>
  <c r="B21" i="54" s="1"/>
  <c r="I12" i="47"/>
  <c r="D9" i="47"/>
  <c r="C5" i="47"/>
  <c r="C17" i="47" s="1"/>
  <c r="D17" i="47" s="1"/>
  <c r="J12" i="50"/>
  <c r="E8" i="48"/>
  <c r="E4" i="31"/>
  <c r="E18" i="31" s="1"/>
  <c r="F18" i="31" s="1"/>
  <c r="C18" i="31"/>
  <c r="D18" i="31" s="1"/>
  <c r="C57" i="43"/>
  <c r="C63" i="43"/>
  <c r="D58" i="43"/>
  <c r="AM21" i="49"/>
  <c r="AB21" i="49"/>
  <c r="AD21" i="49"/>
  <c r="G11" i="48" l="1"/>
  <c r="G8" i="48"/>
  <c r="T13" i="50"/>
  <c r="H18" i="37"/>
  <c r="B22" i="54"/>
  <c r="B20" i="54"/>
  <c r="I5" i="47"/>
  <c r="X16" i="50" s="1"/>
  <c r="X14" i="50" s="1"/>
  <c r="X17" i="50" s="1"/>
  <c r="J9" i="47"/>
  <c r="B21" i="47" s="1"/>
  <c r="C64" i="43"/>
  <c r="E4" i="43"/>
  <c r="R4" i="50"/>
  <c r="R5" i="50" s="1"/>
  <c r="C9" i="48"/>
  <c r="D9" i="48" s="1"/>
  <c r="R8" i="43"/>
  <c r="X8" i="43" s="1"/>
  <c r="AA5" i="43" s="1"/>
  <c r="AE21" i="49"/>
  <c r="AF21" i="49" s="1"/>
  <c r="AG21" i="49" s="1"/>
  <c r="AC21" i="49"/>
  <c r="R15" i="50" l="1"/>
  <c r="E12" i="43"/>
  <c r="T12" i="50"/>
  <c r="E22" i="48"/>
  <c r="G22" i="48" s="1"/>
  <c r="I17" i="47"/>
  <c r="B20" i="47"/>
  <c r="B22" i="47"/>
  <c r="I12" i="43" l="1"/>
  <c r="J9" i="43" s="1"/>
  <c r="F9" i="43"/>
  <c r="E5" i="43"/>
  <c r="G21" i="48"/>
  <c r="J17" i="47"/>
  <c r="X13" i="50"/>
  <c r="R8" i="54"/>
  <c r="X8" i="54" s="1"/>
  <c r="I4" i="54"/>
  <c r="I17" i="54" s="1"/>
  <c r="E4" i="54"/>
  <c r="E17" i="54" s="1"/>
  <c r="F17" i="54" s="1"/>
  <c r="I5" i="43" l="1"/>
  <c r="E17" i="43"/>
  <c r="F17" i="43" s="1"/>
  <c r="B21" i="43"/>
  <c r="G12" i="48"/>
  <c r="E25" i="48"/>
  <c r="G25" i="48" s="1"/>
  <c r="X12" i="50"/>
  <c r="J17" i="54"/>
  <c r="AA13" i="50"/>
  <c r="R16" i="50" l="1"/>
  <c r="B20" i="43"/>
  <c r="B22" i="43"/>
  <c r="I17" i="43"/>
  <c r="G17" i="48"/>
  <c r="G24" i="48"/>
  <c r="AA12" i="50"/>
  <c r="E13" i="48"/>
  <c r="G13" i="48" s="1"/>
  <c r="R13" i="50" l="1"/>
  <c r="AB13" i="50" s="1"/>
  <c r="R14" i="50"/>
  <c r="R17" i="50" s="1"/>
  <c r="J17" i="43"/>
  <c r="G2" i="48"/>
  <c r="G15" i="48"/>
  <c r="R12" i="50" l="1"/>
  <c r="E9" i="48"/>
  <c r="G10" i="48" l="1"/>
  <c r="G9" i="48"/>
  <c r="G28" i="48" s="1"/>
  <c r="N22" i="37"/>
  <c r="M22" i="37"/>
  <c r="Y20" i="37"/>
  <c r="V22" i="37"/>
  <c r="K22" i="37"/>
  <c r="L22" i="37"/>
  <c r="B43" i="36"/>
</calcChain>
</file>

<file path=xl/sharedStrings.xml><?xml version="1.0" encoding="utf-8"?>
<sst xmlns="http://schemas.openxmlformats.org/spreadsheetml/2006/main" count="2985" uniqueCount="479">
  <si>
    <t>objekts</t>
  </si>
  <si>
    <t>TAL</t>
  </si>
  <si>
    <t>contract amount</t>
  </si>
  <si>
    <t>additional works</t>
  </si>
  <si>
    <t xml:space="preserve">total income </t>
  </si>
  <si>
    <t>project manager</t>
  </si>
  <si>
    <t>Jānis/Matīss</t>
  </si>
  <si>
    <t>Alex</t>
  </si>
  <si>
    <t>Matīss</t>
  </si>
  <si>
    <t>Jānis</t>
  </si>
  <si>
    <t>Alex/ Edgars?</t>
  </si>
  <si>
    <t>Edgars</t>
  </si>
  <si>
    <t>Mauro</t>
  </si>
  <si>
    <t>Mauro/ Māris</t>
  </si>
  <si>
    <t>Mauro, Edgars</t>
  </si>
  <si>
    <t>Māris</t>
  </si>
  <si>
    <t>Alens</t>
  </si>
  <si>
    <t>Alexander</t>
  </si>
  <si>
    <t>Jānis E.</t>
  </si>
  <si>
    <t>planned hours</t>
  </si>
  <si>
    <t>worked hours</t>
  </si>
  <si>
    <t>stundu bilance</t>
  </si>
  <si>
    <t>profit %</t>
  </si>
  <si>
    <t>profit EUR</t>
  </si>
  <si>
    <t>construction works  profit/ loss</t>
  </si>
  <si>
    <t>construction works  budget</t>
  </si>
  <si>
    <t>subcontractors work profit/loss</t>
  </si>
  <si>
    <t>subcontractors budget</t>
  </si>
  <si>
    <t>Object</t>
  </si>
  <si>
    <t xml:space="preserve">object total </t>
  </si>
  <si>
    <t>Profit (%)</t>
  </si>
  <si>
    <t>Project manager</t>
  </si>
  <si>
    <t xml:space="preserve">Mauro </t>
  </si>
  <si>
    <t>Māris, Mauro</t>
  </si>
  <si>
    <t>Aleksandrs L., Jānis E.</t>
  </si>
  <si>
    <t>Object costs</t>
  </si>
  <si>
    <t>KPI</t>
  </si>
  <si>
    <t>Novembris</t>
  </si>
  <si>
    <t>Decembris</t>
  </si>
  <si>
    <t>Total</t>
  </si>
  <si>
    <t>Object address</t>
  </si>
  <si>
    <t>execution of contract</t>
  </si>
  <si>
    <t>execution of the contract</t>
  </si>
  <si>
    <t>Objekta ieņēmumi kopā</t>
  </si>
  <si>
    <t>Budget total</t>
  </si>
  <si>
    <t>Time shedule, weeks</t>
  </si>
  <si>
    <t>31/10-6/11</t>
  </si>
  <si>
    <t>7/11-13/11</t>
  </si>
  <si>
    <t>14/11-20/11</t>
  </si>
  <si>
    <t>21/11-27/11</t>
  </si>
  <si>
    <t>28/11/-05/12</t>
  </si>
  <si>
    <t>total</t>
  </si>
  <si>
    <t>planned</t>
  </si>
  <si>
    <t>Objekta tiešie izdevumi</t>
  </si>
  <si>
    <t>Direct costs</t>
  </si>
  <si>
    <t>in fact</t>
  </si>
  <si>
    <t>materiālu un aprīkojuma iegāde</t>
  </si>
  <si>
    <t>materials and equipment</t>
  </si>
  <si>
    <t>hours per m2</t>
  </si>
  <si>
    <t>materiālu piegādes izdevumi</t>
  </si>
  <si>
    <t xml:space="preserve">delivery </t>
  </si>
  <si>
    <t>apakšuzņēmēji</t>
  </si>
  <si>
    <t>subcontractors</t>
  </si>
  <si>
    <t>darba algas</t>
  </si>
  <si>
    <t>salaries</t>
  </si>
  <si>
    <t>DD VSAOI</t>
  </si>
  <si>
    <t>tax for salaries</t>
  </si>
  <si>
    <t>Contract amount EUR</t>
  </si>
  <si>
    <t>uzkrājums atvaļinājumam</t>
  </si>
  <si>
    <t>vacation allowance</t>
  </si>
  <si>
    <t>Additional works, EUR</t>
  </si>
  <si>
    <t>administratīvie izdevumi 7%</t>
  </si>
  <si>
    <t>administrative costs 7%</t>
  </si>
  <si>
    <t>komandējuma dienas naudas</t>
  </si>
  <si>
    <t>travel allowance</t>
  </si>
  <si>
    <t>square m2</t>
  </si>
  <si>
    <t>komandējuma izdevumi- naktsmītne</t>
  </si>
  <si>
    <t>travel expenses (hotels)</t>
  </si>
  <si>
    <t xml:space="preserve">object square </t>
  </si>
  <si>
    <t>hours  optimal/ m2</t>
  </si>
  <si>
    <t>komandējuma izdevumi- ceļš</t>
  </si>
  <si>
    <t>travel expenses ( tickets, road costs)</t>
  </si>
  <si>
    <t>m2&lt;50</t>
  </si>
  <si>
    <t>citi izdevumi</t>
  </si>
  <si>
    <t>other expenses</t>
  </si>
  <si>
    <t>50&lt;m2&lt;100</t>
  </si>
  <si>
    <t>peļņa bruto</t>
  </si>
  <si>
    <t>profit/ loss</t>
  </si>
  <si>
    <t>materials and equipments costs</t>
  </si>
  <si>
    <t>materials and equipment costs</t>
  </si>
  <si>
    <t>travel and living costs</t>
  </si>
  <si>
    <t xml:space="preserve">Direct costs </t>
  </si>
  <si>
    <t>%</t>
  </si>
  <si>
    <t>Materials, incl.delivery, and subcontractors</t>
  </si>
  <si>
    <t>Salaries and taxes</t>
  </si>
  <si>
    <t xml:space="preserve">Other costs </t>
  </si>
  <si>
    <t>Subcontractors budget, EUR</t>
  </si>
  <si>
    <t>Payments to subcontractor, EUR</t>
  </si>
  <si>
    <t>date of report</t>
  </si>
  <si>
    <t>CALZ</t>
  </si>
  <si>
    <t>INT</t>
  </si>
  <si>
    <t>TOTAL</t>
  </si>
  <si>
    <t>contract</t>
  </si>
  <si>
    <t>Levi's Outlet Berlin Wustermark Alter Spandauer Weg 1 14641 Wustermark Germany 27/10/2023-02/12/2023</t>
  </si>
  <si>
    <t>27/10-05/11</t>
  </si>
  <si>
    <t>06/11-12/11</t>
  </si>
  <si>
    <t>13/11-19/11</t>
  </si>
  <si>
    <t>20/11-25/11</t>
  </si>
  <si>
    <t>26/11-2/12</t>
  </si>
  <si>
    <t>contract, SEK</t>
  </si>
  <si>
    <t>BuildUp invoices 10/2022</t>
  </si>
  <si>
    <t>optimera</t>
  </si>
  <si>
    <t>Total SEK</t>
  </si>
  <si>
    <t>Total EUR</t>
  </si>
  <si>
    <t>BuildUp invoices 11/2022</t>
  </si>
  <si>
    <t>City Glas</t>
  </si>
  <si>
    <t>Cramo</t>
  </si>
  <si>
    <t>Līgums</t>
  </si>
  <si>
    <t>kontrole</t>
  </si>
  <si>
    <t>kurss 14/07</t>
  </si>
  <si>
    <t xml:space="preserve">Kurss Māra aprēķinos </t>
  </si>
  <si>
    <t>FAL2</t>
  </si>
  <si>
    <t>Falconeri and Calzedonia, Stockholm, Wastermalm, Sweden  29/11/2023-15/12/2023</t>
  </si>
  <si>
    <t>Novembris/decembris</t>
  </si>
  <si>
    <t>29/11-03/12</t>
  </si>
  <si>
    <t>04/12-10/12</t>
  </si>
  <si>
    <t>11/12-17/12</t>
  </si>
  <si>
    <t>]</t>
  </si>
  <si>
    <t>Optimera</t>
  </si>
  <si>
    <t>BER2</t>
  </si>
  <si>
    <t>Levis Berlin, Alter Spandauer Weg 1 14641 Wustermark Germany, 30/11/2023-20/12/2023</t>
  </si>
  <si>
    <t>Oktobris/ novembris</t>
  </si>
  <si>
    <t>30/10-05/11</t>
  </si>
  <si>
    <t>26/11-3/12</t>
  </si>
  <si>
    <t>4/12-10/12</t>
  </si>
  <si>
    <t>18/12-20/12</t>
  </si>
  <si>
    <t>SIEC</t>
  </si>
  <si>
    <t>Calzedonia and Intimissimi Galerie (City-Galerie Siegen) Am Bahnhof 40, 57072 Siegen, Vācija, 31/10-27/11/2023</t>
  </si>
  <si>
    <t>Oktobris/novembris</t>
  </si>
  <si>
    <t>14/11-19/11</t>
  </si>
  <si>
    <t>20/11-27/11</t>
  </si>
  <si>
    <t>28/11-30/11</t>
  </si>
  <si>
    <t>TAL2</t>
  </si>
  <si>
    <t>SC Viru Keskus Viru valjak 406 10111 Tallinn, 23/10/21023-23/11/2023</t>
  </si>
  <si>
    <t>Oktobris</t>
  </si>
  <si>
    <t>23/10-29/10</t>
  </si>
  <si>
    <t>30/10-5/11</t>
  </si>
  <si>
    <t>6/11-12/11</t>
  </si>
  <si>
    <t>20/11-23/11</t>
  </si>
  <si>
    <t xml:space="preserve">Calzedonia </t>
  </si>
  <si>
    <t>Intimissimi</t>
  </si>
  <si>
    <t xml:space="preserve">Kopā </t>
  </si>
  <si>
    <t xml:space="preserve">Papilddarbi </t>
  </si>
  <si>
    <t>Apakšuzņēmēji</t>
  </si>
  <si>
    <t>CHA</t>
  </si>
  <si>
    <t>Chanel, Jakobsbergsgatan 6, 111 44 Stockholm, Sweden, 02/10-23/11/2023</t>
  </si>
  <si>
    <t>Oktober</t>
  </si>
  <si>
    <t>02/10-08/10</t>
  </si>
  <si>
    <t>09/10-15/10</t>
  </si>
  <si>
    <t>16/10-22/10</t>
  </si>
  <si>
    <t>20/11-26/11</t>
  </si>
  <si>
    <t>BuildUp invoices</t>
  </si>
  <si>
    <t xml:space="preserve">Additonal costs </t>
  </si>
  <si>
    <t>Ikea</t>
  </si>
  <si>
    <t>Mdf arround pillar</t>
  </si>
  <si>
    <t>ok</t>
  </si>
  <si>
    <t xml:space="preserve">Change floor lewel on rised floor </t>
  </si>
  <si>
    <t>Change Ceiling treatment room</t>
  </si>
  <si>
    <t>foldable table in BOH</t>
  </si>
  <si>
    <t>Make cuts in floor for cable pipe</t>
  </si>
  <si>
    <t>Ventilation</t>
  </si>
  <si>
    <t>?</t>
  </si>
  <si>
    <t>additional work request for ventilation extract grills installation in Ceiling GF</t>
  </si>
  <si>
    <t>Change white tiles to make treatment room size</t>
  </si>
  <si>
    <t>work acceleration on week 46</t>
  </si>
  <si>
    <t>Circla</t>
  </si>
  <si>
    <t>Glasbolaget</t>
  </si>
  <si>
    <t>Bigbag</t>
  </si>
  <si>
    <t>AMB</t>
  </si>
  <si>
    <t>Postbank Amberg O0141_PB_KoMiMo_Amberg Kaiser-Ludwig-Ring 9 92224 Amberg, 09/10/2023-10/11/2023</t>
  </si>
  <si>
    <t>November/ december</t>
  </si>
  <si>
    <t>6/11-10/11</t>
  </si>
  <si>
    <t>6/11-12/12</t>
  </si>
  <si>
    <t>SIE</t>
  </si>
  <si>
    <t>Lewi's demolition works City - Galerie (City-Galerie Siegen) Am Bahnhof 40, 57072 Siegen, Vācija, 18/09/2023-24/09/2023</t>
  </si>
  <si>
    <t>Septembris 2023</t>
  </si>
  <si>
    <t>Māris/ Kristaps 17/10/2022</t>
  </si>
  <si>
    <t>ceļš uz (Māris, Kristaps)</t>
  </si>
  <si>
    <t>ceļš no (Kristaps)</t>
  </si>
  <si>
    <t>ceļš no (Māris, uz Zviedriju)</t>
  </si>
  <si>
    <t>auto noma</t>
  </si>
  <si>
    <t>viesnīca Best Western 17/10/2022 (Māris)</t>
  </si>
  <si>
    <t>darbs?</t>
  </si>
  <si>
    <t>materiāli?</t>
  </si>
  <si>
    <t>BOCH</t>
  </si>
  <si>
    <t>Levi's Bochum Ruhrpark GSS (28/08/2023-06/10/2023)</t>
  </si>
  <si>
    <t>Oktobris 2023</t>
  </si>
  <si>
    <t>28/08-03/09</t>
  </si>
  <si>
    <t>04/09-10/09</t>
  </si>
  <si>
    <t>11/09-17/09</t>
  </si>
  <si>
    <t>18/09-24/09</t>
  </si>
  <si>
    <t>25/09-01/10</t>
  </si>
  <si>
    <t>02/10-06/10</t>
  </si>
  <si>
    <t xml:space="preserve">kopā </t>
  </si>
  <si>
    <t>ELEKTROMEISTER PETER SEYRING</t>
  </si>
  <si>
    <t>2023 092591 25/09/2023</t>
  </si>
  <si>
    <t>2023 100606 06/10/2023</t>
  </si>
  <si>
    <t>ELEKTRO LAT SIA</t>
  </si>
  <si>
    <t>LE49/10-2023, 03/10/2023</t>
  </si>
  <si>
    <t>LE52/10-2023 23/10/2023</t>
  </si>
  <si>
    <t>R82 SIA</t>
  </si>
  <si>
    <t>1908 16/10/2023</t>
  </si>
  <si>
    <t>Systeex Brandschutzsysteme Gmbh</t>
  </si>
  <si>
    <t>1023830759 13/10/2023</t>
  </si>
  <si>
    <t>GSS SIA</t>
  </si>
  <si>
    <t>GS23075 02/10/2023</t>
  </si>
  <si>
    <t>GS23076  16/10/2023</t>
  </si>
  <si>
    <t>GS23079 06/11/2023</t>
  </si>
  <si>
    <t>GS23086 15/12/2023</t>
  </si>
  <si>
    <t>Redooo GMBH</t>
  </si>
  <si>
    <t>10003245 24/10/2023</t>
  </si>
  <si>
    <t>10003422 15/11/2023</t>
  </si>
  <si>
    <t>EL Support</t>
  </si>
  <si>
    <t>86/2023 26/10/2023</t>
  </si>
  <si>
    <t>82/2023 16/10/2023</t>
  </si>
  <si>
    <t>Transports</t>
  </si>
  <si>
    <t>SPARTA LOGISTISCS</t>
  </si>
  <si>
    <t>40777 04/10/2023</t>
  </si>
  <si>
    <t>40834 06/10/2023</t>
  </si>
  <si>
    <t>40950 13/10/2023</t>
  </si>
  <si>
    <t>Materiāli</t>
  </si>
  <si>
    <t>B+M BAUSTOFF METAL</t>
  </si>
  <si>
    <t>2-2699107 28/09/2023</t>
  </si>
  <si>
    <t>2-2699106 28/09/2023</t>
  </si>
  <si>
    <t>ELEKTRO GM SIA</t>
  </si>
  <si>
    <t>04898 13/09/2023</t>
  </si>
  <si>
    <t>Boels Rental</t>
  </si>
  <si>
    <t>3422144661 21/09/2023</t>
  </si>
  <si>
    <t>3422144641 21/09/2023</t>
  </si>
  <si>
    <t>Falcon</t>
  </si>
  <si>
    <t>2031177 23/08/2023</t>
  </si>
  <si>
    <t>AUH</t>
  </si>
  <si>
    <t>Intimissimi and Calzedonia Auhof Center Albert-Schweitzer-Gasse 6, 1140 Wien Austria 22/08/2023-05/09/2023</t>
  </si>
  <si>
    <t>augusts</t>
  </si>
  <si>
    <t>septembris</t>
  </si>
  <si>
    <t>22/08-28/08</t>
  </si>
  <si>
    <t>29/08-04/09</t>
  </si>
  <si>
    <t>05/09-07/09</t>
  </si>
  <si>
    <t>FAL</t>
  </si>
  <si>
    <t>Falconeri, Sturegatan 4, 114 35 Stockholm, Sweden 04/09/2023-02/10/2023, 29/11/2023-30/11/2023</t>
  </si>
  <si>
    <t xml:space="preserve">Septembris </t>
  </si>
  <si>
    <t>25/09-02/10</t>
  </si>
  <si>
    <t>kurss 20/07</t>
  </si>
  <si>
    <t>https://sdw.ecb.europa.eu/curConverter.do?sourceAmount=1.0&amp;sourceCurrency=SEK&amp;targetCurrency=EUR&amp;inputDate=20-07-2023&amp;submitConvert.x=73&amp;submitConvert.y=6</t>
  </si>
  <si>
    <t>Līgums- atjaunots piedāvājums 17/08/23</t>
  </si>
  <si>
    <t>Līgums- atjaunots piedāvājums 18/09/2023</t>
  </si>
  <si>
    <t>pēdējais maksājums</t>
  </si>
  <si>
    <t>ECB kurss</t>
  </si>
  <si>
    <t>Līgums- atjaunots piedāvājums 17/10/2023</t>
  </si>
  <si>
    <t>radiatoru restes</t>
  </si>
  <si>
    <t>pēdējais maksājums par papilddarbiem</t>
  </si>
  <si>
    <t>ECB Kurss</t>
  </si>
  <si>
    <t>Līgums- atjaunots piedāvājums 24/10/2023</t>
  </si>
  <si>
    <t>Agreement amount</t>
  </si>
  <si>
    <t>EUR 80253.67</t>
  </si>
  <si>
    <t>kredītrēķins</t>
  </si>
  <si>
    <t>Invoices</t>
  </si>
  <si>
    <t>amount EUR</t>
  </si>
  <si>
    <t>payment term</t>
  </si>
  <si>
    <t>payment recieved EUR</t>
  </si>
  <si>
    <t>2023 1/FAL</t>
  </si>
  <si>
    <t>18/08/2023</t>
  </si>
  <si>
    <t>2023 2/FAL</t>
  </si>
  <si>
    <t>18/10/2023</t>
  </si>
  <si>
    <t>13/10/2023</t>
  </si>
  <si>
    <t>Buildup rēķini</t>
  </si>
  <si>
    <t>2023 3/FAL</t>
  </si>
  <si>
    <t>2023 4/FAL</t>
  </si>
  <si>
    <t>20/10/2023</t>
  </si>
  <si>
    <t>Optimera, 63628846</t>
  </si>
  <si>
    <t>Optimera, 63548770</t>
  </si>
  <si>
    <t>2023 5/FAL</t>
  </si>
  <si>
    <t>18/11/2023</t>
  </si>
  <si>
    <t>Optimera, 63548788</t>
  </si>
  <si>
    <t>2023 6/FAL</t>
  </si>
  <si>
    <t>Optimera, 63231930</t>
  </si>
  <si>
    <t>Total invocies amount EUR</t>
  </si>
  <si>
    <t>Total paid amount EUR26/10/203</t>
  </si>
  <si>
    <t>Optimera, 62851019</t>
  </si>
  <si>
    <t>Optimera, 62984349</t>
  </si>
  <si>
    <t>Optimera, 62865639</t>
  </si>
  <si>
    <t>Optimera, 62939905</t>
  </si>
  <si>
    <t>Optimera, 62954821</t>
  </si>
  <si>
    <t>Optimera, 62970108</t>
  </si>
  <si>
    <t>Circla, 144440</t>
  </si>
  <si>
    <t>Circla, 144403</t>
  </si>
  <si>
    <t>Circla, 144352</t>
  </si>
  <si>
    <t>Circla, 144311</t>
  </si>
  <si>
    <t>Circla , 145490</t>
  </si>
  <si>
    <t>Circla, 144968</t>
  </si>
  <si>
    <t>Circla, 145447</t>
  </si>
  <si>
    <t>Circla, 144676</t>
  </si>
  <si>
    <t>DOR</t>
  </si>
  <si>
    <t>Calzedonia DORTMUND WESTENHELLWEG 24, 13/08-28/08</t>
  </si>
  <si>
    <t>Augusts</t>
  </si>
  <si>
    <t>13/08-20/08</t>
  </si>
  <si>
    <t>01/08-07/08</t>
  </si>
  <si>
    <t>08/08-14/08</t>
  </si>
  <si>
    <t>15/08-21/08</t>
  </si>
  <si>
    <t>21/08-28/08</t>
  </si>
  <si>
    <t>05/09-11/09</t>
  </si>
  <si>
    <t>12/09-18/09</t>
  </si>
  <si>
    <t>19/09-21/09</t>
  </si>
  <si>
    <t>OLD</t>
  </si>
  <si>
    <t>Calzedonia, Lange Strasse 70, Oldenburg, Germany, 30/07-11/08</t>
  </si>
  <si>
    <t>Jūlijs 2022</t>
  </si>
  <si>
    <t>Septembris 2022</t>
  </si>
  <si>
    <t>30/07-06/08</t>
  </si>
  <si>
    <t>07/08-11/08</t>
  </si>
  <si>
    <t>HAL</t>
  </si>
  <si>
    <t>Intimissimi , Leipziger Strasse,11  Halle - Saal , 19/07/2023-22/08/2023</t>
  </si>
  <si>
    <t>July</t>
  </si>
  <si>
    <t>August</t>
  </si>
  <si>
    <t>18/07-24/07</t>
  </si>
  <si>
    <t>25/07-31/07</t>
  </si>
  <si>
    <t>01/08-06/08</t>
  </si>
  <si>
    <t>07/08-13/08</t>
  </si>
  <si>
    <t>14/08-20/08</t>
  </si>
  <si>
    <t>21/08-22/08</t>
  </si>
  <si>
    <t>18/07-23/07</t>
  </si>
  <si>
    <t>24/07-30/07</t>
  </si>
  <si>
    <t>31/07-06/08</t>
  </si>
  <si>
    <t>MEM</t>
  </si>
  <si>
    <t>Calzedonia and Intimissimi Weinmarkt 1, 87700 Memmingen, Germany, 09/07-18/07</t>
  </si>
  <si>
    <t>Jūlijs</t>
  </si>
  <si>
    <t>08/07-12/07</t>
  </si>
  <si>
    <t>04/07-10/07</t>
  </si>
  <si>
    <t>11/07-17/07</t>
  </si>
  <si>
    <t>NL</t>
  </si>
  <si>
    <t>materiāli</t>
  </si>
  <si>
    <t>algas</t>
  </si>
  <si>
    <t>komandējuma nauda</t>
  </si>
  <si>
    <t>dzīvošana</t>
  </si>
  <si>
    <t>ceļš</t>
  </si>
  <si>
    <t>ARN</t>
  </si>
  <si>
    <r>
      <rPr>
        <b/>
        <sz val="20"/>
        <color rgb="FF000000"/>
        <rFont val="Calibri"/>
      </rPr>
      <t xml:space="preserve">Calzedonia, </t>
    </r>
    <r>
      <rPr>
        <sz val="20"/>
        <color rgb="FF000000"/>
        <rFont val="Calibri"/>
      </rPr>
      <t>Vijzelstraat 1C, 6811 ES Arnhem, Netherlands 01/07/2023-25/07/2023</t>
    </r>
  </si>
  <si>
    <t>30/06-09/07</t>
  </si>
  <si>
    <t>10/07-16/07</t>
  </si>
  <si>
    <t>17/07-23/07</t>
  </si>
  <si>
    <t>NEU</t>
  </si>
  <si>
    <t>Postbank Neumarkt, 30/05-5/07/2023</t>
  </si>
  <si>
    <t>Maijs</t>
  </si>
  <si>
    <t>Jūnijs</t>
  </si>
  <si>
    <t>30/05-04/06</t>
  </si>
  <si>
    <t>05/06-11/06</t>
  </si>
  <si>
    <t>12/06-18/06</t>
  </si>
  <si>
    <t>19/06-25/06</t>
  </si>
  <si>
    <t>11/07-14/07</t>
  </si>
  <si>
    <t>SC Viru Keskus Viru valjak 406 10111 Tallinn, Intimissimi, 06/05-12/05</t>
  </si>
  <si>
    <t>09/05-15/05</t>
  </si>
  <si>
    <t>16/05-22/05</t>
  </si>
  <si>
    <t>23/05-29/05</t>
  </si>
  <si>
    <t>30/05-05/06</t>
  </si>
  <si>
    <t>06/06-12/06</t>
  </si>
  <si>
    <t>13/06-21/06</t>
  </si>
  <si>
    <t>MAL</t>
  </si>
  <si>
    <t>Calzedonia / Intimissimi SC Emporia, Hyllie Boulevard 19, 215 32 Malmö, Sweden  17/04/2023-09/05/2023</t>
  </si>
  <si>
    <t>Aprīlis</t>
  </si>
  <si>
    <t>17/04-23/04</t>
  </si>
  <si>
    <t>24/04-30/04</t>
  </si>
  <si>
    <t>01/05-07/05</t>
  </si>
  <si>
    <t>08/05-09/05</t>
  </si>
  <si>
    <t>08/05-14/05</t>
  </si>
  <si>
    <t>15/05-21/05</t>
  </si>
  <si>
    <t>SEK</t>
  </si>
  <si>
    <t>EUR</t>
  </si>
  <si>
    <t>30% SEK</t>
  </si>
  <si>
    <t>30%EUR</t>
  </si>
  <si>
    <t>60% SEK</t>
  </si>
  <si>
    <t>60% EUR</t>
  </si>
  <si>
    <t>10% SEK</t>
  </si>
  <si>
    <t>10% EUR</t>
  </si>
  <si>
    <t>Calzedonia</t>
  </si>
  <si>
    <t>Invoices according agreement</t>
  </si>
  <si>
    <t>invoice amount total EUR</t>
  </si>
  <si>
    <t>payment received</t>
  </si>
  <si>
    <t>2023 1/MAL</t>
  </si>
  <si>
    <t>26/04/2023</t>
  </si>
  <si>
    <t>2023 2/MAL</t>
  </si>
  <si>
    <t>30/05/2023</t>
  </si>
  <si>
    <t>2023 3/MAL</t>
  </si>
  <si>
    <t>13/06/2023</t>
  </si>
  <si>
    <t xml:space="preserve">Total </t>
  </si>
  <si>
    <t>Additonally works</t>
  </si>
  <si>
    <t>2023 4/MAL</t>
  </si>
  <si>
    <t>agreement amount</t>
  </si>
  <si>
    <t>advance received, invoice Nr. 2023 1/MAL</t>
  </si>
  <si>
    <t xml:space="preserve">2023 2/MAL </t>
  </si>
  <si>
    <t>invoice 2023 3/MAL to pay</t>
  </si>
  <si>
    <t>BER</t>
  </si>
  <si>
    <t>Willy-Brandt-Platz 2, 12529 Schönefeld, Germany, 29/05/2023-16/06/2023</t>
  </si>
  <si>
    <t>Maijs 23</t>
  </si>
  <si>
    <t>Jūnijs 23</t>
  </si>
  <si>
    <t>25/04-01/05</t>
  </si>
  <si>
    <t>02/05-08/05</t>
  </si>
  <si>
    <t>29/05-04/06</t>
  </si>
  <si>
    <t>12/06-16/06</t>
  </si>
  <si>
    <t xml:space="preserve">hours </t>
  </si>
  <si>
    <t>OFF</t>
  </si>
  <si>
    <t>Calzedonia and Intimissimi Offenburg, Hauptstrasse 80, Germany, 01/03/2023- 06/04/2023 (20/05/2023!)</t>
  </si>
  <si>
    <t>Marts</t>
  </si>
  <si>
    <t>01/03-05/03</t>
  </si>
  <si>
    <t>06/03-12/03</t>
  </si>
  <si>
    <t>13/03-19/03</t>
  </si>
  <si>
    <t>20/03-26/03</t>
  </si>
  <si>
    <t>27/03-02/04</t>
  </si>
  <si>
    <t>03/04-09/04</t>
  </si>
  <si>
    <t>10/04-12/04</t>
  </si>
  <si>
    <t>23/04-30/04</t>
  </si>
  <si>
    <t>01/05-04/05</t>
  </si>
  <si>
    <t>15/05-20/05</t>
  </si>
  <si>
    <t>jūnijs</t>
  </si>
  <si>
    <t>mtr. un aprīkojuma iegāde</t>
  </si>
  <si>
    <t>1681</t>
  </si>
  <si>
    <t>mtr. piegādes izdevumi</t>
  </si>
  <si>
    <t>kom. dienas naudas</t>
  </si>
  <si>
    <t>kom. izdevumi- naktsmītne</t>
  </si>
  <si>
    <t>kom. izdevumi- ceļš</t>
  </si>
  <si>
    <t>ELEKTRIĶU IZMAKSAS</t>
  </si>
  <si>
    <t>CEĻŠ+DZĪVOŠANA</t>
  </si>
  <si>
    <t>ALGA+TAX</t>
  </si>
  <si>
    <t>KOMANDĒJUMA DIENAS NAUDAS</t>
  </si>
  <si>
    <t>MATERIĀLI</t>
  </si>
  <si>
    <t>APAKŠUZŅĒMĒJI- EI Support</t>
  </si>
  <si>
    <t>APAKŠUZŅĒMĒJI- PETER SEYRING</t>
  </si>
  <si>
    <t>ANT</t>
  </si>
  <si>
    <t>Intimissimi Antverpen Korte Gasthuisstraat, Belgium, 20/02/2023-08/03/2023</t>
  </si>
  <si>
    <t>Februāris</t>
  </si>
  <si>
    <t>20/02-26/02</t>
  </si>
  <si>
    <t>27/02-05/03</t>
  </si>
  <si>
    <t>06/03-08/23</t>
  </si>
  <si>
    <t>11/04/-17/04</t>
  </si>
  <si>
    <t>18/04-21/04</t>
  </si>
  <si>
    <t>maijs</t>
  </si>
  <si>
    <t>11/04/-15/04</t>
  </si>
  <si>
    <t>27/04/2023</t>
  </si>
  <si>
    <t>APAKŠUZŅĒMĒJI- ELEKTRO LAT</t>
  </si>
  <si>
    <t>SW</t>
  </si>
  <si>
    <t>Zviedrija, 06/02/2023-09/02/2023</t>
  </si>
  <si>
    <t>Marts 22</t>
  </si>
  <si>
    <t>06/02-09/02</t>
  </si>
  <si>
    <t>SAR2</t>
  </si>
  <si>
    <t>SAARBRUESKEN, Bahnhofstrasse 1 , Germany, 11/02/2023-20/02/2023</t>
  </si>
  <si>
    <t>10/02-20/02</t>
  </si>
  <si>
    <t>SAR</t>
  </si>
  <si>
    <t>SAARBRUESKEN, Bahnhofstrasse 51, Germany, 11/01/2023-14/02/2023</t>
  </si>
  <si>
    <t>Janvāris</t>
  </si>
  <si>
    <t>14/03-17/03</t>
  </si>
  <si>
    <t>11/01-15/01</t>
  </si>
  <si>
    <t>16/01-22/01</t>
  </si>
  <si>
    <t>23/01-29/01</t>
  </si>
  <si>
    <t>30/01-05/02</t>
  </si>
  <si>
    <t>06/02-12/02</t>
  </si>
  <si>
    <t>23/03/2023</t>
  </si>
  <si>
    <t>MUN2</t>
  </si>
  <si>
    <t xml:space="preserve">Flughafen München Terminalstr. West 85356 München-Flughafen Zentralgebäude, Ebene 03 Raum 330RG </t>
  </si>
  <si>
    <t>Marts 23</t>
  </si>
  <si>
    <t>13/02-19/02</t>
  </si>
  <si>
    <t>06/03-09/03</t>
  </si>
  <si>
    <t>agent commision</t>
  </si>
  <si>
    <t>FUR</t>
  </si>
  <si>
    <t xml:space="preserve">Rudolf-Breitscheid-Straße 4, 90762 Fürth, Germany </t>
  </si>
  <si>
    <t>06/12-11/12</t>
  </si>
  <si>
    <t>12/12-18/12</t>
  </si>
  <si>
    <t>19/12-25/12</t>
  </si>
  <si>
    <t>26/12-01/01</t>
  </si>
  <si>
    <t>02/01-08/01</t>
  </si>
  <si>
    <t>09/01-15/01</t>
  </si>
  <si>
    <t>30/01-?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</si>
</sst>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yyyy\-mm\-dd;@"/>
    <numFmt numFmtId="167" formatCode="[$SEK]\ #,##0.00"/>
    <numFmt numFmtId="168" formatCode="_([$EUR]\ * #,##0.00_);_([$EUR]\ * \(#,##0.00\);_([$EUR]\ * &quot;-&quot;??_);_(@_)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sz val="2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charset val="186"/>
      <scheme val="minor"/>
    </font>
    <font>
      <sz val="10"/>
      <color rgb="FFFF0000"/>
      <name val="Calibri"/>
      <family val="2"/>
      <scheme val="minor"/>
    </font>
    <font>
      <sz val="10"/>
      <color rgb="FFFF0000"/>
      <name val="Calibri"/>
      <family val="2"/>
    </font>
    <font>
      <sz val="11"/>
      <color rgb="FFFF0000"/>
      <name val="Calibri"/>
      <family val="2"/>
      <charset val="1"/>
    </font>
    <font>
      <sz val="10"/>
      <name val="Arial"/>
      <family val="2"/>
      <charset val="186"/>
    </font>
    <font>
      <sz val="20"/>
      <color rgb="FF444444"/>
      <name val="Calibri"/>
      <family val="2"/>
      <charset val="1"/>
    </font>
    <font>
      <sz val="11"/>
      <color indexed="8"/>
      <name val="Calibri"/>
      <charset val="1"/>
    </font>
    <font>
      <sz val="8"/>
      <color theme="1"/>
      <name val="Calibri"/>
      <family val="2"/>
      <scheme val="minor"/>
    </font>
    <font>
      <b/>
      <sz val="20"/>
      <color rgb="FF000000"/>
      <name val="Calibri"/>
    </font>
    <font>
      <sz val="20"/>
      <color rgb="FF000000"/>
      <name val="Calibri"/>
    </font>
    <font>
      <sz val="16"/>
      <color rgb="FF000000"/>
      <name val="Calibri"/>
      <charset val="1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444444"/>
      <name val="Calibri"/>
      <family val="2"/>
      <charset val="1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CD7F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9" fontId="10" fillId="0" borderId="0" applyFont="0" applyFill="0" applyBorder="0" applyAlignment="0" applyProtection="0"/>
    <xf numFmtId="0" fontId="28" fillId="0" borderId="0"/>
    <xf numFmtId="0" fontId="35" fillId="0" borderId="0" applyNumberFormat="0" applyFill="0" applyBorder="0" applyAlignment="0" applyProtection="0"/>
  </cellStyleXfs>
  <cellXfs count="625">
    <xf numFmtId="0" fontId="0" fillId="0" borderId="0" xfId="0"/>
    <xf numFmtId="2" fontId="0" fillId="0" borderId="0" xfId="0" applyNumberFormat="1"/>
    <xf numFmtId="1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8" xfId="0" applyFont="1" applyBorder="1"/>
    <xf numFmtId="0" fontId="3" fillId="0" borderId="10" xfId="1" applyBorder="1" applyAlignment="1">
      <alignment vertical="center" wrapText="1"/>
    </xf>
    <xf numFmtId="0" fontId="4" fillId="0" borderId="0" xfId="0" applyFont="1"/>
    <xf numFmtId="2" fontId="2" fillId="4" borderId="6" xfId="0" applyNumberFormat="1" applyFont="1" applyFill="1" applyBorder="1" applyAlignment="1">
      <alignment horizontal="right"/>
    </xf>
    <xf numFmtId="2" fontId="0" fillId="0" borderId="3" xfId="0" applyNumberFormat="1" applyBorder="1" applyAlignment="1">
      <alignment horizontal="right"/>
    </xf>
    <xf numFmtId="0" fontId="0" fillId="0" borderId="14" xfId="0" applyBorder="1" applyAlignment="1">
      <alignment horizontal="center" vertical="center" wrapText="1"/>
    </xf>
    <xf numFmtId="0" fontId="0" fillId="0" borderId="15" xfId="0" applyBorder="1"/>
    <xf numFmtId="0" fontId="2" fillId="0" borderId="18" xfId="0" applyFont="1" applyBorder="1"/>
    <xf numFmtId="0" fontId="3" fillId="0" borderId="15" xfId="1" applyBorder="1" applyAlignment="1">
      <alignment vertical="center" wrapText="1"/>
    </xf>
    <xf numFmtId="0" fontId="0" fillId="3" borderId="15" xfId="0" applyFill="1" applyBorder="1"/>
    <xf numFmtId="0" fontId="2" fillId="0" borderId="19" xfId="0" applyFont="1" applyBorder="1"/>
    <xf numFmtId="2" fontId="2" fillId="2" borderId="6" xfId="0" applyNumberFormat="1" applyFont="1" applyFill="1" applyBorder="1" applyAlignment="1">
      <alignment horizontal="right"/>
    </xf>
    <xf numFmtId="0" fontId="0" fillId="5" borderId="16" xfId="0" applyFill="1" applyBorder="1"/>
    <xf numFmtId="0" fontId="2" fillId="0" borderId="22" xfId="0" applyFont="1" applyBorder="1"/>
    <xf numFmtId="0" fontId="3" fillId="0" borderId="23" xfId="1" applyBorder="1" applyAlignment="1">
      <alignment vertical="center" wrapText="1"/>
    </xf>
    <xf numFmtId="0" fontId="0" fillId="3" borderId="23" xfId="0" applyFill="1" applyBorder="1"/>
    <xf numFmtId="0" fontId="3" fillId="0" borderId="24" xfId="1" applyBorder="1" applyAlignment="1">
      <alignment vertical="center" wrapText="1"/>
    </xf>
    <xf numFmtId="0" fontId="3" fillId="6" borderId="23" xfId="1" applyFill="1" applyBorder="1" applyAlignment="1">
      <alignment vertical="center" wrapText="1"/>
    </xf>
    <xf numFmtId="0" fontId="2" fillId="0" borderId="25" xfId="0" applyFont="1" applyBorder="1"/>
    <xf numFmtId="2" fontId="0" fillId="0" borderId="16" xfId="0" applyNumberFormat="1" applyBorder="1" applyAlignment="1">
      <alignment horizontal="right"/>
    </xf>
    <xf numFmtId="2" fontId="0" fillId="0" borderId="23" xfId="0" applyNumberFormat="1" applyBorder="1" applyAlignment="1">
      <alignment horizontal="right"/>
    </xf>
    <xf numFmtId="2" fontId="0" fillId="0" borderId="17" xfId="0" applyNumberFormat="1" applyBorder="1" applyAlignment="1">
      <alignment horizontal="right"/>
    </xf>
    <xf numFmtId="0" fontId="0" fillId="0" borderId="7" xfId="0" applyBorder="1" applyAlignment="1">
      <alignment horizontal="center" wrapText="1"/>
    </xf>
    <xf numFmtId="0" fontId="6" fillId="0" borderId="12" xfId="0" applyFont="1" applyBorder="1"/>
    <xf numFmtId="0" fontId="6" fillId="0" borderId="7" xfId="0" applyFont="1" applyBorder="1"/>
    <xf numFmtId="0" fontId="0" fillId="0" borderId="7" xfId="0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9" fontId="0" fillId="7" borderId="27" xfId="2" applyFont="1" applyFill="1" applyBorder="1" applyAlignment="1">
      <alignment horizontal="center"/>
    </xf>
    <xf numFmtId="9" fontId="0" fillId="7" borderId="6" xfId="2" applyFont="1" applyFill="1" applyBorder="1" applyAlignment="1">
      <alignment horizontal="center"/>
    </xf>
    <xf numFmtId="0" fontId="0" fillId="0" borderId="12" xfId="0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9" fontId="0" fillId="8" borderId="27" xfId="0" applyNumberFormat="1" applyFill="1" applyBorder="1" applyAlignment="1">
      <alignment horizontal="center"/>
    </xf>
    <xf numFmtId="9" fontId="0" fillId="8" borderId="6" xfId="0" applyNumberFormat="1" applyFill="1" applyBorder="1" applyAlignment="1">
      <alignment horizontal="center"/>
    </xf>
    <xf numFmtId="9" fontId="0" fillId="7" borderId="28" xfId="0" applyNumberFormat="1" applyFill="1" applyBorder="1" applyAlignment="1">
      <alignment horizontal="center"/>
    </xf>
    <xf numFmtId="9" fontId="0" fillId="7" borderId="14" xfId="0" applyNumberFormat="1" applyFill="1" applyBorder="1" applyAlignment="1">
      <alignment horizontal="center"/>
    </xf>
    <xf numFmtId="9" fontId="0" fillId="7" borderId="29" xfId="0" applyNumberFormat="1" applyFill="1" applyBorder="1" applyAlignment="1">
      <alignment horizontal="center"/>
    </xf>
    <xf numFmtId="0" fontId="0" fillId="6" borderId="16" xfId="0" applyFill="1" applyBorder="1" applyAlignment="1">
      <alignment vertical="center"/>
    </xf>
    <xf numFmtId="1" fontId="0" fillId="7" borderId="14" xfId="0" applyNumberFormat="1" applyFill="1" applyBorder="1" applyAlignment="1">
      <alignment horizontal="center"/>
    </xf>
    <xf numFmtId="1" fontId="0" fillId="7" borderId="29" xfId="0" applyNumberFormat="1" applyFill="1" applyBorder="1" applyAlignment="1">
      <alignment horizontal="center"/>
    </xf>
    <xf numFmtId="9" fontId="0" fillId="8" borderId="30" xfId="0" applyNumberFormat="1" applyFill="1" applyBorder="1" applyAlignment="1">
      <alignment horizontal="center"/>
    </xf>
    <xf numFmtId="9" fontId="13" fillId="8" borderId="16" xfId="0" applyNumberFormat="1" applyFont="1" applyFill="1" applyBorder="1" applyAlignment="1">
      <alignment horizontal="center"/>
    </xf>
    <xf numFmtId="9" fontId="0" fillId="8" borderId="26" xfId="0" applyNumberFormat="1" applyFill="1" applyBorder="1" applyAlignment="1">
      <alignment horizontal="center"/>
    </xf>
    <xf numFmtId="9" fontId="0" fillId="8" borderId="16" xfId="0" applyNumberFormat="1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1" fontId="5" fillId="7" borderId="7" xfId="0" applyNumberFormat="1" applyFont="1" applyFill="1" applyBorder="1" applyAlignment="1">
      <alignment horizontal="center"/>
    </xf>
    <xf numFmtId="0" fontId="0" fillId="6" borderId="17" xfId="0" applyFill="1" applyBorder="1" applyAlignment="1">
      <alignment vertical="center"/>
    </xf>
    <xf numFmtId="0" fontId="0" fillId="8" borderId="14" xfId="0" applyFill="1" applyBorder="1" applyAlignment="1">
      <alignment horizontal="center"/>
    </xf>
    <xf numFmtId="1" fontId="13" fillId="8" borderId="14" xfId="0" applyNumberFormat="1" applyFont="1" applyFill="1" applyBorder="1" applyAlignment="1">
      <alignment horizontal="center"/>
    </xf>
    <xf numFmtId="1" fontId="13" fillId="8" borderId="29" xfId="0" applyNumberFormat="1" applyFont="1" applyFill="1" applyBorder="1" applyAlignment="1">
      <alignment horizontal="center"/>
    </xf>
    <xf numFmtId="0" fontId="0" fillId="9" borderId="14" xfId="0" applyFill="1" applyBorder="1"/>
    <xf numFmtId="9" fontId="0" fillId="9" borderId="14" xfId="0" applyNumberFormat="1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0" borderId="14" xfId="0" applyFill="1" applyBorder="1"/>
    <xf numFmtId="0" fontId="0" fillId="8" borderId="11" xfId="0" applyFill="1" applyBorder="1" applyAlignment="1">
      <alignment horizontal="center"/>
    </xf>
    <xf numFmtId="1" fontId="14" fillId="8" borderId="11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0" fillId="9" borderId="14" xfId="0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/>
    </xf>
    <xf numFmtId="1" fontId="0" fillId="6" borderId="14" xfId="0" applyNumberForma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/>
    </xf>
    <xf numFmtId="0" fontId="0" fillId="6" borderId="7" xfId="0" applyFill="1" applyBorder="1" applyAlignment="1">
      <alignment vertical="center" wrapText="1"/>
    </xf>
    <xf numFmtId="1" fontId="0" fillId="7" borderId="7" xfId="0" applyNumberFormat="1" applyFill="1" applyBorder="1" applyAlignment="1">
      <alignment horizontal="center"/>
    </xf>
    <xf numFmtId="1" fontId="13" fillId="7" borderId="7" xfId="0" applyNumberFormat="1" applyFont="1" applyFill="1" applyBorder="1" applyAlignment="1">
      <alignment horizontal="center"/>
    </xf>
    <xf numFmtId="1" fontId="0" fillId="8" borderId="7" xfId="0" applyNumberFormat="1" applyFill="1" applyBorder="1" applyAlignment="1">
      <alignment horizontal="center"/>
    </xf>
    <xf numFmtId="1" fontId="13" fillId="8" borderId="7" xfId="0" applyNumberFormat="1" applyFont="1" applyFill="1" applyBorder="1" applyAlignment="1">
      <alignment horizontal="center"/>
    </xf>
    <xf numFmtId="1" fontId="7" fillId="8" borderId="11" xfId="0" applyNumberFormat="1" applyFont="1" applyFill="1" applyBorder="1" applyAlignment="1">
      <alignment horizontal="center"/>
    </xf>
    <xf numFmtId="2" fontId="0" fillId="0" borderId="14" xfId="0" applyNumberFormat="1" applyBorder="1" applyAlignment="1">
      <alignment vertical="center"/>
    </xf>
    <xf numFmtId="0" fontId="5" fillId="5" borderId="1" xfId="0" applyFont="1" applyFill="1" applyBorder="1" applyAlignment="1">
      <alignment horizontal="right"/>
    </xf>
    <xf numFmtId="0" fontId="12" fillId="0" borderId="12" xfId="0" applyFont="1" applyBorder="1" applyAlignment="1">
      <alignment horizontal="center" vertical="center" wrapText="1"/>
    </xf>
    <xf numFmtId="0" fontId="16" fillId="0" borderId="10" xfId="1" applyFont="1" applyBorder="1" applyAlignment="1">
      <alignment vertical="center" wrapText="1"/>
    </xf>
    <xf numFmtId="0" fontId="15" fillId="3" borderId="13" xfId="0" applyFont="1" applyFill="1" applyBorder="1"/>
    <xf numFmtId="2" fontId="0" fillId="5" borderId="16" xfId="0" applyNumberFormat="1" applyFill="1" applyBorder="1"/>
    <xf numFmtId="0" fontId="0" fillId="0" borderId="34" xfId="0" applyBorder="1"/>
    <xf numFmtId="0" fontId="2" fillId="0" borderId="36" xfId="0" applyFont="1" applyBorder="1"/>
    <xf numFmtId="0" fontId="0" fillId="0" borderId="37" xfId="0" applyBorder="1"/>
    <xf numFmtId="2" fontId="1" fillId="0" borderId="38" xfId="0" applyNumberFormat="1" applyFont="1" applyBorder="1"/>
    <xf numFmtId="0" fontId="15" fillId="3" borderId="39" xfId="0" applyFont="1" applyFill="1" applyBorder="1"/>
    <xf numFmtId="0" fontId="3" fillId="0" borderId="0" xfId="1" applyAlignment="1">
      <alignment vertical="center" wrapText="1"/>
    </xf>
    <xf numFmtId="2" fontId="1" fillId="0" borderId="40" xfId="0" applyNumberFormat="1" applyFont="1" applyBorder="1"/>
    <xf numFmtId="0" fontId="15" fillId="3" borderId="34" xfId="0" applyFont="1" applyFill="1" applyBorder="1"/>
    <xf numFmtId="0" fontId="16" fillId="0" borderId="0" xfId="1" applyFont="1" applyAlignment="1">
      <alignment vertical="center" wrapText="1"/>
    </xf>
    <xf numFmtId="0" fontId="15" fillId="3" borderId="41" xfId="0" applyFont="1" applyFill="1" applyBorder="1"/>
    <xf numFmtId="0" fontId="0" fillId="3" borderId="0" xfId="0" applyFill="1"/>
    <xf numFmtId="2" fontId="0" fillId="0" borderId="40" xfId="0" applyNumberFormat="1" applyBorder="1"/>
    <xf numFmtId="2" fontId="0" fillId="0" borderId="42" xfId="0" applyNumberFormat="1" applyBorder="1"/>
    <xf numFmtId="0" fontId="15" fillId="6" borderId="34" xfId="0" applyFont="1" applyFill="1" applyBorder="1"/>
    <xf numFmtId="0" fontId="16" fillId="6" borderId="0" xfId="1" applyFont="1" applyFill="1" applyAlignment="1">
      <alignment vertical="center" wrapText="1"/>
    </xf>
    <xf numFmtId="2" fontId="0" fillId="0" borderId="37" xfId="0" applyNumberFormat="1" applyBorder="1"/>
    <xf numFmtId="0" fontId="15" fillId="3" borderId="39" xfId="0" applyFont="1" applyFill="1" applyBorder="1" applyAlignment="1">
      <alignment vertical="center" wrapText="1"/>
    </xf>
    <xf numFmtId="0" fontId="15" fillId="3" borderId="34" xfId="0" applyFont="1" applyFill="1" applyBorder="1" applyAlignment="1">
      <alignment vertical="center" wrapText="1"/>
    </xf>
    <xf numFmtId="9" fontId="2" fillId="0" borderId="38" xfId="0" applyNumberFormat="1" applyFont="1" applyBorder="1"/>
    <xf numFmtId="0" fontId="2" fillId="0" borderId="34" xfId="0" applyFont="1" applyBorder="1"/>
    <xf numFmtId="0" fontId="2" fillId="0" borderId="0" xfId="0" applyFont="1"/>
    <xf numFmtId="0" fontId="0" fillId="0" borderId="40" xfId="0" applyBorder="1"/>
    <xf numFmtId="0" fontId="2" fillId="0" borderId="39" xfId="0" applyFont="1" applyBorder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15" fillId="0" borderId="34" xfId="0" applyFont="1" applyBorder="1" applyAlignment="1">
      <alignment wrapText="1"/>
    </xf>
    <xf numFmtId="1" fontId="1" fillId="0" borderId="0" xfId="0" applyNumberFormat="1" applyFont="1" applyAlignment="1">
      <alignment horizontal="center" vertical="center"/>
    </xf>
    <xf numFmtId="0" fontId="15" fillId="0" borderId="34" xfId="0" applyFont="1" applyBorder="1"/>
    <xf numFmtId="0" fontId="15" fillId="0" borderId="41" xfId="0" applyFont="1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47" xfId="0" applyFont="1" applyBorder="1"/>
    <xf numFmtId="0" fontId="0" fillId="0" borderId="46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6" borderId="48" xfId="0" applyFill="1" applyBorder="1" applyAlignment="1">
      <alignment wrapText="1"/>
    </xf>
    <xf numFmtId="1" fontId="0" fillId="7" borderId="38" xfId="0" applyNumberFormat="1" applyFill="1" applyBorder="1" applyAlignment="1">
      <alignment horizontal="center"/>
    </xf>
    <xf numFmtId="0" fontId="0" fillId="6" borderId="49" xfId="0" applyFill="1" applyBorder="1" applyAlignment="1">
      <alignment wrapText="1"/>
    </xf>
    <xf numFmtId="0" fontId="0" fillId="6" borderId="38" xfId="0" applyFill="1" applyBorder="1" applyAlignment="1">
      <alignment horizontal="center"/>
    </xf>
    <xf numFmtId="0" fontId="0" fillId="0" borderId="50" xfId="0" applyBorder="1"/>
    <xf numFmtId="0" fontId="0" fillId="6" borderId="46" xfId="0" applyFill="1" applyBorder="1" applyAlignment="1">
      <alignment vertical="center" wrapText="1"/>
    </xf>
    <xf numFmtId="1" fontId="0" fillId="7" borderId="47" xfId="0" applyNumberFormat="1" applyFill="1" applyBorder="1" applyAlignment="1">
      <alignment horizontal="center"/>
    </xf>
    <xf numFmtId="0" fontId="0" fillId="6" borderId="47" xfId="0" applyFill="1" applyBorder="1" applyAlignment="1">
      <alignment horizontal="center"/>
    </xf>
    <xf numFmtId="1" fontId="0" fillId="0" borderId="0" xfId="0" applyNumberFormat="1"/>
    <xf numFmtId="9" fontId="2" fillId="0" borderId="21" xfId="0" applyNumberFormat="1" applyFont="1" applyBorder="1"/>
    <xf numFmtId="9" fontId="2" fillId="0" borderId="19" xfId="0" applyNumberFormat="1" applyFont="1" applyBorder="1"/>
    <xf numFmtId="0" fontId="3" fillId="6" borderId="0" xfId="1" applyFill="1" applyAlignment="1">
      <alignment vertical="center" wrapText="1"/>
    </xf>
    <xf numFmtId="0" fontId="3" fillId="0" borderId="17" xfId="1" applyBorder="1" applyAlignment="1">
      <alignment vertical="center" wrapText="1"/>
    </xf>
    <xf numFmtId="0" fontId="3" fillId="0" borderId="55" xfId="1" applyBorder="1" applyAlignment="1">
      <alignment vertical="center" wrapText="1"/>
    </xf>
    <xf numFmtId="2" fontId="3" fillId="0" borderId="23" xfId="1" applyNumberFormat="1" applyBorder="1" applyAlignment="1">
      <alignment vertical="center" wrapText="1"/>
    </xf>
    <xf numFmtId="2" fontId="3" fillId="6" borderId="23" xfId="1" applyNumberFormat="1" applyFill="1" applyBorder="1" applyAlignment="1">
      <alignment vertical="center" wrapText="1"/>
    </xf>
    <xf numFmtId="2" fontId="2" fillId="0" borderId="25" xfId="0" applyNumberFormat="1" applyFont="1" applyBorder="1"/>
    <xf numFmtId="2" fontId="3" fillId="0" borderId="10" xfId="1" applyNumberFormat="1" applyBorder="1" applyAlignment="1">
      <alignment vertical="center" wrapText="1"/>
    </xf>
    <xf numFmtId="2" fontId="3" fillId="0" borderId="24" xfId="1" applyNumberFormat="1" applyBorder="1" applyAlignment="1">
      <alignment vertical="center" wrapText="1"/>
    </xf>
    <xf numFmtId="2" fontId="3" fillId="0" borderId="17" xfId="1" applyNumberFormat="1" applyBorder="1" applyAlignment="1">
      <alignment vertical="center" wrapText="1"/>
    </xf>
    <xf numFmtId="2" fontId="3" fillId="0" borderId="0" xfId="1" applyNumberFormat="1" applyAlignment="1">
      <alignment vertical="center" wrapText="1"/>
    </xf>
    <xf numFmtId="0" fontId="3" fillId="0" borderId="56" xfId="1" applyBorder="1" applyAlignment="1">
      <alignment vertical="center" wrapText="1"/>
    </xf>
    <xf numFmtId="0" fontId="3" fillId="6" borderId="15" xfId="1" applyFill="1" applyBorder="1" applyAlignment="1">
      <alignment vertical="center" wrapText="1"/>
    </xf>
    <xf numFmtId="0" fontId="3" fillId="0" borderId="57" xfId="1" applyBorder="1" applyAlignment="1">
      <alignment vertical="center" wrapText="1"/>
    </xf>
    <xf numFmtId="2" fontId="5" fillId="5" borderId="1" xfId="0" applyNumberFormat="1" applyFont="1" applyFill="1" applyBorder="1" applyAlignment="1">
      <alignment horizontal="right"/>
    </xf>
    <xf numFmtId="2" fontId="0" fillId="0" borderId="14" xfId="0" applyNumberForma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164" fontId="0" fillId="0" borderId="15" xfId="0" applyNumberFormat="1" applyBorder="1"/>
    <xf numFmtId="0" fontId="3" fillId="6" borderId="24" xfId="1" applyFill="1" applyBorder="1" applyAlignment="1">
      <alignment vertical="center" wrapText="1"/>
    </xf>
    <xf numFmtId="1" fontId="18" fillId="8" borderId="7" xfId="0" applyNumberFormat="1" applyFont="1" applyFill="1" applyBorder="1" applyAlignment="1">
      <alignment horizontal="center"/>
    </xf>
    <xf numFmtId="2" fontId="3" fillId="6" borderId="17" xfId="1" applyNumberFormat="1" applyFill="1" applyBorder="1" applyAlignment="1">
      <alignment vertical="center" wrapText="1"/>
    </xf>
    <xf numFmtId="2" fontId="3" fillId="0" borderId="56" xfId="1" applyNumberFormat="1" applyBorder="1" applyAlignment="1">
      <alignment vertical="center" wrapText="1"/>
    </xf>
    <xf numFmtId="0" fontId="0" fillId="6" borderId="23" xfId="0" applyFill="1" applyBorder="1"/>
    <xf numFmtId="2" fontId="5" fillId="5" borderId="58" xfId="0" applyNumberFormat="1" applyFont="1" applyFill="1" applyBorder="1" applyAlignment="1">
      <alignment horizontal="right"/>
    </xf>
    <xf numFmtId="2" fontId="2" fillId="4" borderId="59" xfId="0" applyNumberFormat="1" applyFont="1" applyFill="1" applyBorder="1" applyAlignment="1">
      <alignment horizontal="right"/>
    </xf>
    <xf numFmtId="2" fontId="0" fillId="3" borderId="23" xfId="0" applyNumberFormat="1" applyFill="1" applyBorder="1"/>
    <xf numFmtId="2" fontId="3" fillId="0" borderId="15" xfId="1" applyNumberFormat="1" applyBorder="1" applyAlignment="1">
      <alignment vertical="center" wrapText="1"/>
    </xf>
    <xf numFmtId="2" fontId="0" fillId="3" borderId="15" xfId="0" applyNumberFormat="1" applyFill="1" applyBorder="1"/>
    <xf numFmtId="2" fontId="20" fillId="3" borderId="23" xfId="0" applyNumberFormat="1" applyFont="1" applyFill="1" applyBorder="1"/>
    <xf numFmtId="2" fontId="3" fillId="6" borderId="15" xfId="1" applyNumberFormat="1" applyFill="1" applyBorder="1" applyAlignment="1">
      <alignment vertical="center" wrapText="1"/>
    </xf>
    <xf numFmtId="2" fontId="3" fillId="6" borderId="56" xfId="1" applyNumberFormat="1" applyFill="1" applyBorder="1" applyAlignment="1">
      <alignment vertical="center" wrapText="1"/>
    </xf>
    <xf numFmtId="1" fontId="0" fillId="0" borderId="15" xfId="0" applyNumberFormat="1" applyBorder="1"/>
    <xf numFmtId="2" fontId="3" fillId="0" borderId="57" xfId="1" applyNumberFormat="1" applyBorder="1" applyAlignment="1">
      <alignment vertical="center" wrapText="1"/>
    </xf>
    <xf numFmtId="0" fontId="0" fillId="8" borderId="7" xfId="0" applyFill="1" applyBorder="1" applyAlignment="1">
      <alignment horizontal="center"/>
    </xf>
    <xf numFmtId="0" fontId="0" fillId="8" borderId="38" xfId="0" applyFill="1" applyBorder="1" applyAlignment="1">
      <alignment horizontal="center"/>
    </xf>
    <xf numFmtId="0" fontId="0" fillId="8" borderId="47" xfId="0" applyFill="1" applyBorder="1" applyAlignment="1">
      <alignment horizontal="center"/>
    </xf>
    <xf numFmtId="1" fontId="0" fillId="8" borderId="47" xfId="0" applyNumberFormat="1" applyFill="1" applyBorder="1" applyAlignment="1">
      <alignment horizontal="center"/>
    </xf>
    <xf numFmtId="1" fontId="0" fillId="8" borderId="38" xfId="0" applyNumberFormat="1" applyFill="1" applyBorder="1" applyAlignment="1">
      <alignment horizontal="center"/>
    </xf>
    <xf numFmtId="2" fontId="0" fillId="8" borderId="7" xfId="0" applyNumberFormat="1" applyFill="1" applyBorder="1" applyAlignment="1">
      <alignment horizontal="center"/>
    </xf>
    <xf numFmtId="2" fontId="3" fillId="6" borderId="24" xfId="1" applyNumberFormat="1" applyFill="1" applyBorder="1" applyAlignment="1">
      <alignment vertical="center" wrapText="1"/>
    </xf>
    <xf numFmtId="16" fontId="11" fillId="0" borderId="9" xfId="0" applyNumberFormat="1" applyFont="1" applyBorder="1" applyAlignment="1">
      <alignment horizontal="center" vertical="center" wrapText="1"/>
    </xf>
    <xf numFmtId="0" fontId="6" fillId="0" borderId="14" xfId="0" applyFont="1" applyBorder="1"/>
    <xf numFmtId="0" fontId="11" fillId="0" borderId="14" xfId="0" applyFont="1" applyBorder="1" applyAlignment="1">
      <alignment horizontal="center" vertical="center" wrapText="1"/>
    </xf>
    <xf numFmtId="16" fontId="11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9" fontId="0" fillId="8" borderId="14" xfId="0" applyNumberFormat="1" applyFill="1" applyBorder="1" applyAlignment="1">
      <alignment horizontal="center"/>
    </xf>
    <xf numFmtId="9" fontId="13" fillId="8" borderId="14" xfId="0" applyNumberFormat="1" applyFont="1" applyFill="1" applyBorder="1" applyAlignment="1">
      <alignment horizontal="center"/>
    </xf>
    <xf numFmtId="0" fontId="0" fillId="0" borderId="36" xfId="0" applyBorder="1" applyAlignment="1">
      <alignment horizontal="center" wrapText="1"/>
    </xf>
    <xf numFmtId="0" fontId="0" fillId="0" borderId="36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6" borderId="39" xfId="0" applyFill="1" applyBorder="1" applyAlignment="1">
      <alignment wrapText="1"/>
    </xf>
    <xf numFmtId="0" fontId="0" fillId="6" borderId="34" xfId="0" applyFill="1" applyBorder="1" applyAlignment="1">
      <alignment wrapText="1"/>
    </xf>
    <xf numFmtId="0" fontId="0" fillId="0" borderId="60" xfId="0" applyBorder="1"/>
    <xf numFmtId="0" fontId="23" fillId="6" borderId="14" xfId="0" applyFont="1" applyFill="1" applyBorder="1" applyAlignment="1">
      <alignment horizontal="center" vertical="center" wrapText="1"/>
    </xf>
    <xf numFmtId="2" fontId="3" fillId="6" borderId="16" xfId="1" applyNumberFormat="1" applyFill="1" applyBorder="1" applyAlignment="1">
      <alignment vertical="center" wrapText="1"/>
    </xf>
    <xf numFmtId="2" fontId="2" fillId="2" borderId="25" xfId="0" applyNumberFormat="1" applyFont="1" applyFill="1" applyBorder="1"/>
    <xf numFmtId="2" fontId="21" fillId="0" borderId="25" xfId="0" applyNumberFormat="1" applyFont="1" applyBorder="1"/>
    <xf numFmtId="0" fontId="2" fillId="11" borderId="22" xfId="0" applyFont="1" applyFill="1" applyBorder="1"/>
    <xf numFmtId="0" fontId="11" fillId="0" borderId="59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2" fontId="2" fillId="11" borderId="22" xfId="0" applyNumberFormat="1" applyFont="1" applyFill="1" applyBorder="1"/>
    <xf numFmtId="2" fontId="0" fillId="6" borderId="23" xfId="0" applyNumberFormat="1" applyFill="1" applyBorder="1"/>
    <xf numFmtId="2" fontId="2" fillId="11" borderId="6" xfId="0" applyNumberFormat="1" applyFont="1" applyFill="1" applyBorder="1" applyAlignment="1">
      <alignment horizontal="right"/>
    </xf>
    <xf numFmtId="2" fontId="3" fillId="6" borderId="57" xfId="1" applyNumberFormat="1" applyFill="1" applyBorder="1" applyAlignment="1">
      <alignment vertical="center" wrapText="1"/>
    </xf>
    <xf numFmtId="2" fontId="0" fillId="6" borderId="15" xfId="0" applyNumberFormat="1" applyFill="1" applyBorder="1"/>
    <xf numFmtId="2" fontId="2" fillId="12" borderId="25" xfId="0" applyNumberFormat="1" applyFont="1" applyFill="1" applyBorder="1"/>
    <xf numFmtId="165" fontId="3" fillId="0" borderId="15" xfId="1" applyNumberFormat="1" applyBorder="1" applyAlignment="1">
      <alignment vertical="center" wrapText="1"/>
    </xf>
    <xf numFmtId="1" fontId="0" fillId="8" borderId="14" xfId="0" applyNumberFormat="1" applyFill="1" applyBorder="1" applyAlignment="1">
      <alignment horizontal="center"/>
    </xf>
    <xf numFmtId="2" fontId="0" fillId="0" borderId="63" xfId="0" applyNumberFormat="1" applyBorder="1" applyAlignment="1">
      <alignment horizontal="right"/>
    </xf>
    <xf numFmtId="0" fontId="5" fillId="9" borderId="14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1" fontId="0" fillId="6" borderId="0" xfId="0" applyNumberFormat="1" applyFill="1" applyAlignment="1">
      <alignment horizontal="center"/>
    </xf>
    <xf numFmtId="0" fontId="25" fillId="3" borderId="34" xfId="0" applyFont="1" applyFill="1" applyBorder="1"/>
    <xf numFmtId="0" fontId="26" fillId="0" borderId="0" xfId="1" applyFont="1" applyAlignment="1">
      <alignment vertical="center" wrapText="1"/>
    </xf>
    <xf numFmtId="2" fontId="27" fillId="0" borderId="23" xfId="1" applyNumberFormat="1" applyFont="1" applyBorder="1" applyAlignment="1">
      <alignment vertical="center" wrapText="1"/>
    </xf>
    <xf numFmtId="0" fontId="27" fillId="0" borderId="0" xfId="1" applyFont="1" applyAlignment="1">
      <alignment vertical="center" wrapText="1"/>
    </xf>
    <xf numFmtId="2" fontId="27" fillId="0" borderId="15" xfId="1" applyNumberFormat="1" applyFont="1" applyBorder="1" applyAlignment="1">
      <alignment vertical="center" wrapText="1"/>
    </xf>
    <xf numFmtId="0" fontId="27" fillId="0" borderId="15" xfId="1" applyFont="1" applyBorder="1" applyAlignment="1">
      <alignment vertical="center" wrapText="1"/>
    </xf>
    <xf numFmtId="2" fontId="0" fillId="0" borderId="66" xfId="0" applyNumberFormat="1" applyBorder="1" applyAlignment="1">
      <alignment horizontal="right"/>
    </xf>
    <xf numFmtId="2" fontId="20" fillId="0" borderId="3" xfId="0" applyNumberFormat="1" applyFont="1" applyBorder="1" applyAlignment="1">
      <alignment horizontal="right"/>
    </xf>
    <xf numFmtId="0" fontId="3" fillId="6" borderId="56" xfId="1" applyFill="1" applyBorder="1" applyAlignment="1">
      <alignment vertical="center" wrapText="1"/>
    </xf>
    <xf numFmtId="0" fontId="20" fillId="8" borderId="38" xfId="0" applyFont="1" applyFill="1" applyBorder="1" applyAlignment="1">
      <alignment horizontal="center"/>
    </xf>
    <xf numFmtId="9" fontId="0" fillId="9" borderId="14" xfId="0" applyNumberFormat="1" applyFill="1" applyBorder="1" applyAlignment="1">
      <alignment horizontal="center" vertical="center"/>
    </xf>
    <xf numFmtId="0" fontId="0" fillId="6" borderId="15" xfId="0" applyFill="1" applyBorder="1"/>
    <xf numFmtId="0" fontId="19" fillId="8" borderId="7" xfId="0" applyFont="1" applyFill="1" applyBorder="1" applyAlignment="1">
      <alignment horizontal="center"/>
    </xf>
    <xf numFmtId="2" fontId="0" fillId="0" borderId="67" xfId="0" applyNumberFormat="1" applyBorder="1" applyAlignment="1">
      <alignment horizontal="right"/>
    </xf>
    <xf numFmtId="164" fontId="7" fillId="8" borderId="1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6" borderId="0" xfId="0" applyFill="1"/>
    <xf numFmtId="9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/>
    <xf numFmtId="0" fontId="0" fillId="0" borderId="14" xfId="0" applyBorder="1"/>
    <xf numFmtId="0" fontId="0" fillId="0" borderId="17" xfId="0" applyBorder="1"/>
    <xf numFmtId="2" fontId="0" fillId="0" borderId="14" xfId="0" applyNumberFormat="1" applyBorder="1"/>
    <xf numFmtId="9" fontId="0" fillId="0" borderId="14" xfId="0" applyNumberFormat="1" applyBorder="1"/>
    <xf numFmtId="0" fontId="0" fillId="0" borderId="14" xfId="0" applyBorder="1" applyAlignment="1">
      <alignment horizontal="right"/>
    </xf>
    <xf numFmtId="0" fontId="0" fillId="0" borderId="57" xfId="0" applyBorder="1"/>
    <xf numFmtId="0" fontId="5" fillId="0" borderId="14" xfId="0" applyFont="1" applyBorder="1" applyAlignment="1">
      <alignment horizontal="center" vertical="center"/>
    </xf>
    <xf numFmtId="2" fontId="0" fillId="8" borderId="47" xfId="0" applyNumberFormat="1" applyFill="1" applyBorder="1" applyAlignment="1">
      <alignment horizontal="center"/>
    </xf>
    <xf numFmtId="2" fontId="2" fillId="2" borderId="59" xfId="0" applyNumberFormat="1" applyFont="1" applyFill="1" applyBorder="1" applyAlignment="1">
      <alignment horizontal="right"/>
    </xf>
    <xf numFmtId="1" fontId="0" fillId="0" borderId="37" xfId="0" applyNumberFormat="1" applyBorder="1"/>
    <xf numFmtId="1" fontId="1" fillId="0" borderId="38" xfId="0" applyNumberFormat="1" applyFont="1" applyBorder="1"/>
    <xf numFmtId="0" fontId="17" fillId="0" borderId="0" xfId="0" applyFont="1"/>
    <xf numFmtId="0" fontId="24" fillId="0" borderId="7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2" fontId="2" fillId="11" borderId="18" xfId="0" applyNumberFormat="1" applyFont="1" applyFill="1" applyBorder="1"/>
    <xf numFmtId="0" fontId="2" fillId="0" borderId="69" xfId="0" applyFont="1" applyBorder="1"/>
    <xf numFmtId="1" fontId="0" fillId="7" borderId="72" xfId="0" applyNumberFormat="1" applyFill="1" applyBorder="1" applyAlignment="1">
      <alignment horizontal="center"/>
    </xf>
    <xf numFmtId="0" fontId="0" fillId="8" borderId="72" xfId="0" applyFill="1" applyBorder="1" applyAlignment="1">
      <alignment horizontal="center"/>
    </xf>
    <xf numFmtId="9" fontId="0" fillId="6" borderId="0" xfId="0" applyNumberFormat="1" applyFill="1" applyAlignment="1">
      <alignment horizontal="center"/>
    </xf>
    <xf numFmtId="0" fontId="0" fillId="6" borderId="0" xfId="0" applyFill="1" applyAlignment="1">
      <alignment horizontal="left" vertical="center"/>
    </xf>
    <xf numFmtId="0" fontId="0" fillId="6" borderId="0" xfId="0" applyFill="1" applyAlignment="1">
      <alignment horizontal="center" vertical="center" wrapText="1"/>
    </xf>
    <xf numFmtId="9" fontId="0" fillId="6" borderId="0" xfId="0" applyNumberFormat="1" applyFill="1" applyAlignment="1">
      <alignment horizontal="center" vertical="center"/>
    </xf>
    <xf numFmtId="0" fontId="0" fillId="6" borderId="0" xfId="0" applyFill="1" applyAlignment="1">
      <alignment horizontal="left" vertical="center" wrapText="1"/>
    </xf>
    <xf numFmtId="2" fontId="0" fillId="6" borderId="0" xfId="0" applyNumberFormat="1" applyFill="1"/>
    <xf numFmtId="164" fontId="0" fillId="0" borderId="37" xfId="0" applyNumberFormat="1" applyBorder="1"/>
    <xf numFmtId="0" fontId="2" fillId="0" borderId="21" xfId="0" applyFont="1" applyBorder="1"/>
    <xf numFmtId="0" fontId="0" fillId="0" borderId="0" xfId="0" applyAlignment="1">
      <alignment wrapText="1"/>
    </xf>
    <xf numFmtId="2" fontId="6" fillId="5" borderId="16" xfId="0" applyNumberFormat="1" applyFont="1" applyFill="1" applyBorder="1"/>
    <xf numFmtId="2" fontId="6" fillId="0" borderId="0" xfId="0" applyNumberFormat="1" applyFont="1"/>
    <xf numFmtId="0" fontId="0" fillId="6" borderId="6" xfId="0" applyFill="1" applyBorder="1" applyAlignment="1">
      <alignment horizontal="center"/>
    </xf>
    <xf numFmtId="0" fontId="6" fillId="0" borderId="75" xfId="0" applyFont="1" applyBorder="1"/>
    <xf numFmtId="0" fontId="0" fillId="0" borderId="26" xfId="0" applyBorder="1"/>
    <xf numFmtId="0" fontId="0" fillId="0" borderId="76" xfId="0" applyBorder="1"/>
    <xf numFmtId="0" fontId="2" fillId="0" borderId="61" xfId="0" applyFont="1" applyBorder="1"/>
    <xf numFmtId="0" fontId="15" fillId="3" borderId="77" xfId="0" applyFont="1" applyFill="1" applyBorder="1"/>
    <xf numFmtId="0" fontId="15" fillId="3" borderId="78" xfId="0" applyFont="1" applyFill="1" applyBorder="1"/>
    <xf numFmtId="0" fontId="15" fillId="3" borderId="79" xfId="0" applyFont="1" applyFill="1" applyBorder="1"/>
    <xf numFmtId="0" fontId="15" fillId="6" borderId="78" xfId="0" applyFont="1" applyFill="1" applyBorder="1"/>
    <xf numFmtId="0" fontId="15" fillId="3" borderId="77" xfId="0" applyFont="1" applyFill="1" applyBorder="1" applyAlignment="1">
      <alignment vertical="center" wrapText="1"/>
    </xf>
    <xf numFmtId="0" fontId="15" fillId="3" borderId="78" xfId="0" applyFont="1" applyFill="1" applyBorder="1" applyAlignment="1">
      <alignment vertical="center" wrapText="1"/>
    </xf>
    <xf numFmtId="0" fontId="2" fillId="0" borderId="80" xfId="0" applyFont="1" applyBorder="1"/>
    <xf numFmtId="2" fontId="0" fillId="5" borderId="30" xfId="0" applyNumberFormat="1" applyFill="1" applyBorder="1"/>
    <xf numFmtId="0" fontId="13" fillId="7" borderId="59" xfId="0" applyFont="1" applyFill="1" applyBorder="1" applyAlignment="1">
      <alignment horizontal="center"/>
    </xf>
    <xf numFmtId="1" fontId="5" fillId="7" borderId="81" xfId="0" applyNumberFormat="1" applyFont="1" applyFill="1" applyBorder="1" applyAlignment="1">
      <alignment horizontal="center"/>
    </xf>
    <xf numFmtId="0" fontId="13" fillId="8" borderId="58" xfId="0" applyFont="1" applyFill="1" applyBorder="1" applyAlignment="1">
      <alignment horizontal="center"/>
    </xf>
    <xf numFmtId="1" fontId="7" fillId="8" borderId="82" xfId="0" applyNumberFormat="1" applyFont="1" applyFill="1" applyBorder="1" applyAlignment="1">
      <alignment horizontal="center"/>
    </xf>
    <xf numFmtId="0" fontId="13" fillId="8" borderId="66" xfId="0" applyFont="1" applyFill="1" applyBorder="1" applyAlignment="1">
      <alignment horizontal="center"/>
    </xf>
    <xf numFmtId="1" fontId="7" fillId="8" borderId="83" xfId="0" applyNumberFormat="1" applyFont="1" applyFill="1" applyBorder="1" applyAlignment="1">
      <alignment horizontal="center"/>
    </xf>
    <xf numFmtId="0" fontId="11" fillId="0" borderId="81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2" fillId="0" borderId="81" xfId="0" applyFont="1" applyBorder="1" applyAlignment="1">
      <alignment horizontal="center" vertical="center" wrapText="1"/>
    </xf>
    <xf numFmtId="1" fontId="0" fillId="7" borderId="59" xfId="0" applyNumberFormat="1" applyFill="1" applyBorder="1" applyAlignment="1">
      <alignment horizontal="center"/>
    </xf>
    <xf numFmtId="1" fontId="0" fillId="7" borderId="81" xfId="0" applyNumberFormat="1" applyFill="1" applyBorder="1" applyAlignment="1">
      <alignment horizontal="center"/>
    </xf>
    <xf numFmtId="1" fontId="0" fillId="8" borderId="84" xfId="0" applyNumberFormat="1" applyFill="1" applyBorder="1" applyAlignment="1">
      <alignment horizontal="center"/>
    </xf>
    <xf numFmtId="1" fontId="13" fillId="8" borderId="85" xfId="0" applyNumberFormat="1" applyFont="1" applyFill="1" applyBorder="1" applyAlignment="1">
      <alignment horizontal="center"/>
    </xf>
    <xf numFmtId="1" fontId="13" fillId="8" borderId="86" xfId="0" applyNumberFormat="1" applyFont="1" applyFill="1" applyBorder="1" applyAlignment="1">
      <alignment horizontal="center"/>
    </xf>
    <xf numFmtId="0" fontId="0" fillId="6" borderId="36" xfId="0" applyFill="1" applyBorder="1" applyAlignment="1">
      <alignment vertical="center" wrapText="1"/>
    </xf>
    <xf numFmtId="0" fontId="6" fillId="0" borderId="6" xfId="0" applyFont="1" applyBorder="1"/>
    <xf numFmtId="1" fontId="13" fillId="7" borderId="6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vertical="center" wrapText="1"/>
    </xf>
    <xf numFmtId="0" fontId="0" fillId="6" borderId="9" xfId="0" applyFill="1" applyBorder="1" applyAlignment="1">
      <alignment vertical="center" wrapText="1"/>
    </xf>
    <xf numFmtId="0" fontId="12" fillId="0" borderId="87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6" borderId="26" xfId="0" applyFill="1" applyBorder="1" applyAlignment="1">
      <alignment vertical="center"/>
    </xf>
    <xf numFmtId="0" fontId="0" fillId="6" borderId="88" xfId="0" applyFill="1" applyBorder="1" applyAlignment="1">
      <alignment vertical="center"/>
    </xf>
    <xf numFmtId="0" fontId="6" fillId="0" borderId="4" xfId="0" applyFont="1" applyBorder="1"/>
    <xf numFmtId="9" fontId="0" fillId="10" borderId="28" xfId="0" applyNumberFormat="1" applyFill="1" applyBorder="1" applyAlignment="1">
      <alignment horizontal="center"/>
    </xf>
    <xf numFmtId="0" fontId="0" fillId="0" borderId="89" xfId="0" applyBorder="1"/>
    <xf numFmtId="2" fontId="1" fillId="0" borderId="18" xfId="0" applyNumberFormat="1" applyFont="1" applyBorder="1"/>
    <xf numFmtId="2" fontId="1" fillId="0" borderId="15" xfId="0" applyNumberFormat="1" applyFont="1" applyBorder="1"/>
    <xf numFmtId="2" fontId="0" fillId="0" borderId="15" xfId="0" applyNumberFormat="1" applyBorder="1"/>
    <xf numFmtId="2" fontId="0" fillId="0" borderId="56" xfId="0" applyNumberFormat="1" applyBorder="1"/>
    <xf numFmtId="2" fontId="0" fillId="0" borderId="89" xfId="0" applyNumberFormat="1" applyBorder="1"/>
    <xf numFmtId="2" fontId="2" fillId="2" borderId="90" xfId="0" applyNumberFormat="1" applyFont="1" applyFill="1" applyBorder="1" applyAlignment="1">
      <alignment horizontal="right"/>
    </xf>
    <xf numFmtId="0" fontId="17" fillId="0" borderId="91" xfId="0" applyFont="1" applyBorder="1"/>
    <xf numFmtId="0" fontId="0" fillId="0" borderId="96" xfId="0" applyBorder="1"/>
    <xf numFmtId="0" fontId="6" fillId="0" borderId="97" xfId="0" applyFont="1" applyBorder="1"/>
    <xf numFmtId="0" fontId="2" fillId="0" borderId="98" xfId="0" applyFont="1" applyBorder="1"/>
    <xf numFmtId="0" fontId="15" fillId="3" borderId="101" xfId="0" applyFont="1" applyFill="1" applyBorder="1"/>
    <xf numFmtId="1" fontId="0" fillId="7" borderId="97" xfId="0" applyNumberFormat="1" applyFill="1" applyBorder="1" applyAlignment="1">
      <alignment horizontal="center"/>
    </xf>
    <xf numFmtId="0" fontId="15" fillId="3" borderId="102" xfId="0" applyFont="1" applyFill="1" applyBorder="1"/>
    <xf numFmtId="0" fontId="0" fillId="6" borderId="97" xfId="0" applyFill="1" applyBorder="1" applyAlignment="1">
      <alignment horizontal="center"/>
    </xf>
    <xf numFmtId="0" fontId="15" fillId="3" borderId="103" xfId="0" applyFont="1" applyFill="1" applyBorder="1"/>
    <xf numFmtId="0" fontId="0" fillId="0" borderId="104" xfId="0" applyBorder="1"/>
    <xf numFmtId="0" fontId="15" fillId="6" borderId="102" xfId="0" applyFont="1" applyFill="1" applyBorder="1"/>
    <xf numFmtId="0" fontId="15" fillId="3" borderId="101" xfId="0" applyFont="1" applyFill="1" applyBorder="1" applyAlignment="1">
      <alignment vertical="center" wrapText="1"/>
    </xf>
    <xf numFmtId="0" fontId="15" fillId="3" borderId="102" xfId="0" applyFont="1" applyFill="1" applyBorder="1" applyAlignment="1">
      <alignment vertical="center" wrapText="1"/>
    </xf>
    <xf numFmtId="0" fontId="2" fillId="0" borderId="105" xfId="0" applyFont="1" applyBorder="1"/>
    <xf numFmtId="0" fontId="2" fillId="0" borderId="102" xfId="0" applyFont="1" applyBorder="1"/>
    <xf numFmtId="0" fontId="2" fillId="0" borderId="101" xfId="0" applyFont="1" applyBorder="1" applyAlignment="1">
      <alignment horizontal="center"/>
    </xf>
    <xf numFmtId="0" fontId="15" fillId="0" borderId="102" xfId="0" applyFont="1" applyBorder="1" applyAlignment="1">
      <alignment wrapText="1"/>
    </xf>
    <xf numFmtId="0" fontId="15" fillId="0" borderId="102" xfId="0" applyFont="1" applyBorder="1"/>
    <xf numFmtId="0" fontId="15" fillId="0" borderId="103" xfId="0" applyFont="1" applyBorder="1"/>
    <xf numFmtId="1" fontId="0" fillId="6" borderId="97" xfId="0" applyNumberFormat="1" applyFill="1" applyBorder="1" applyAlignment="1">
      <alignment horizontal="center"/>
    </xf>
    <xf numFmtId="0" fontId="0" fillId="0" borderId="102" xfId="0" applyBorder="1"/>
    <xf numFmtId="0" fontId="0" fillId="0" borderId="106" xfId="0" applyBorder="1"/>
    <xf numFmtId="0" fontId="0" fillId="0" borderId="69" xfId="0" applyBorder="1"/>
    <xf numFmtId="0" fontId="0" fillId="0" borderId="107" xfId="0" applyBorder="1"/>
    <xf numFmtId="0" fontId="0" fillId="0" borderId="108" xfId="0" applyBorder="1"/>
    <xf numFmtId="0" fontId="0" fillId="0" borderId="111" xfId="0" applyBorder="1"/>
    <xf numFmtId="2" fontId="5" fillId="0" borderId="25" xfId="0" applyNumberFormat="1" applyFont="1" applyBorder="1"/>
    <xf numFmtId="0" fontId="0" fillId="2" borderId="7" xfId="0" applyFill="1" applyBorder="1" applyAlignment="1">
      <alignment horizontal="center"/>
    </xf>
    <xf numFmtId="1" fontId="0" fillId="8" borderId="72" xfId="0" applyNumberFormat="1" applyFill="1" applyBorder="1" applyAlignment="1">
      <alignment horizontal="center"/>
    </xf>
    <xf numFmtId="1" fontId="14" fillId="8" borderId="82" xfId="0" applyNumberFormat="1" applyFont="1" applyFill="1" applyBorder="1" applyAlignment="1">
      <alignment horizontal="center"/>
    </xf>
    <xf numFmtId="0" fontId="17" fillId="0" borderId="69" xfId="0" applyFont="1" applyBorder="1"/>
    <xf numFmtId="2" fontId="5" fillId="6" borderId="25" xfId="0" applyNumberFormat="1" applyFont="1" applyFill="1" applyBorder="1"/>
    <xf numFmtId="2" fontId="0" fillId="6" borderId="0" xfId="0" applyNumberFormat="1" applyFill="1" applyAlignment="1">
      <alignment horizontal="center" vertical="center" wrapText="1"/>
    </xf>
    <xf numFmtId="0" fontId="0" fillId="6" borderId="0" xfId="0" applyFill="1" applyAlignment="1">
      <alignment horizontal="left"/>
    </xf>
    <xf numFmtId="0" fontId="13" fillId="8" borderId="29" xfId="0" applyFont="1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20" fillId="7" borderId="26" xfId="0" applyFont="1" applyFill="1" applyBorder="1" applyAlignment="1">
      <alignment horizontal="center"/>
    </xf>
    <xf numFmtId="0" fontId="20" fillId="7" borderId="14" xfId="0" applyFont="1" applyFill="1" applyBorder="1" applyAlignment="1">
      <alignment horizontal="center"/>
    </xf>
    <xf numFmtId="0" fontId="6" fillId="0" borderId="51" xfId="0" applyFont="1" applyBorder="1"/>
    <xf numFmtId="1" fontId="20" fillId="7" borderId="26" xfId="0" applyNumberFormat="1" applyFont="1" applyFill="1" applyBorder="1" applyAlignment="1">
      <alignment horizontal="center"/>
    </xf>
    <xf numFmtId="0" fontId="30" fillId="0" borderId="15" xfId="1" applyFont="1" applyBorder="1" applyAlignment="1">
      <alignment vertical="center" wrapText="1"/>
    </xf>
    <xf numFmtId="2" fontId="30" fillId="0" borderId="15" xfId="1" applyNumberFormat="1" applyFont="1" applyBorder="1" applyAlignment="1">
      <alignment vertical="center" wrapText="1"/>
    </xf>
    <xf numFmtId="2" fontId="30" fillId="6" borderId="15" xfId="1" applyNumberFormat="1" applyFont="1" applyFill="1" applyBorder="1" applyAlignment="1">
      <alignment vertical="center" wrapText="1"/>
    </xf>
    <xf numFmtId="0" fontId="30" fillId="0" borderId="57" xfId="1" applyFont="1" applyBorder="1" applyAlignment="1">
      <alignment vertical="center" wrapText="1"/>
    </xf>
    <xf numFmtId="1" fontId="0" fillId="0" borderId="0" xfId="0" applyNumberFormat="1" applyAlignment="1">
      <alignment horizontal="center" vertical="center"/>
    </xf>
    <xf numFmtId="2" fontId="30" fillId="0" borderId="56" xfId="1" applyNumberFormat="1" applyFont="1" applyBorder="1" applyAlignment="1">
      <alignment vertical="center" wrapText="1"/>
    </xf>
    <xf numFmtId="0" fontId="30" fillId="6" borderId="15" xfId="1" applyFont="1" applyFill="1" applyBorder="1" applyAlignment="1">
      <alignment vertical="center" wrapText="1"/>
    </xf>
    <xf numFmtId="2" fontId="30" fillId="0" borderId="57" xfId="1" applyNumberFormat="1" applyFont="1" applyBorder="1" applyAlignment="1">
      <alignment vertical="center" wrapText="1"/>
    </xf>
    <xf numFmtId="0" fontId="31" fillId="6" borderId="14" xfId="0" applyFont="1" applyFill="1" applyBorder="1" applyAlignment="1">
      <alignment horizontal="center" vertical="center" wrapText="1"/>
    </xf>
    <xf numFmtId="0" fontId="22" fillId="0" borderId="0" xfId="0" applyFont="1"/>
    <xf numFmtId="2" fontId="30" fillId="6" borderId="56" xfId="1" applyNumberFormat="1" applyFont="1" applyFill="1" applyBorder="1" applyAlignment="1">
      <alignment vertical="center" wrapText="1"/>
    </xf>
    <xf numFmtId="164" fontId="0" fillId="0" borderId="0" xfId="0" applyNumberFormat="1"/>
    <xf numFmtId="2" fontId="3" fillId="0" borderId="30" xfId="1" applyNumberFormat="1" applyBorder="1" applyAlignment="1">
      <alignment vertical="center" wrapText="1"/>
    </xf>
    <xf numFmtId="2" fontId="3" fillId="3" borderId="56" xfId="1" applyNumberFormat="1" applyFill="1" applyBorder="1" applyAlignment="1">
      <alignment vertical="center" wrapText="1"/>
    </xf>
    <xf numFmtId="2" fontId="3" fillId="3" borderId="15" xfId="1" applyNumberFormat="1" applyFill="1" applyBorder="1" applyAlignment="1">
      <alignment vertical="center" wrapText="1"/>
    </xf>
    <xf numFmtId="2" fontId="3" fillId="3" borderId="57" xfId="1" applyNumberFormat="1" applyFill="1" applyBorder="1" applyAlignment="1">
      <alignment vertical="center" wrapText="1"/>
    </xf>
    <xf numFmtId="164" fontId="0" fillId="8" borderId="47" xfId="0" applyNumberFormat="1" applyFill="1" applyBorder="1" applyAlignment="1">
      <alignment horizontal="center"/>
    </xf>
    <xf numFmtId="0" fontId="3" fillId="3" borderId="15" xfId="1" applyFill="1" applyBorder="1" applyAlignment="1">
      <alignment vertical="center" wrapText="1"/>
    </xf>
    <xf numFmtId="2" fontId="2" fillId="12" borderId="19" xfId="0" applyNumberFormat="1" applyFont="1" applyFill="1" applyBorder="1"/>
    <xf numFmtId="1" fontId="0" fillId="7" borderId="22" xfId="0" applyNumberFormat="1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1" fontId="0" fillId="15" borderId="47" xfId="0" applyNumberFormat="1" applyFill="1" applyBorder="1" applyAlignment="1">
      <alignment horizontal="center"/>
    </xf>
    <xf numFmtId="0" fontId="0" fillId="14" borderId="0" xfId="0" applyFill="1"/>
    <xf numFmtId="2" fontId="21" fillId="5" borderId="1" xfId="0" applyNumberFormat="1" applyFont="1" applyFill="1" applyBorder="1" applyAlignment="1">
      <alignment horizontal="right"/>
    </xf>
    <xf numFmtId="0" fontId="35" fillId="0" borderId="0" xfId="4"/>
    <xf numFmtId="0" fontId="21" fillId="9" borderId="14" xfId="0" applyFont="1" applyFill="1" applyBorder="1" applyAlignment="1">
      <alignment horizontal="center" vertical="center"/>
    </xf>
    <xf numFmtId="2" fontId="3" fillId="3" borderId="24" xfId="1" applyNumberFormat="1" applyFill="1" applyBorder="1" applyAlignment="1">
      <alignment vertical="center" wrapText="1"/>
    </xf>
    <xf numFmtId="2" fontId="3" fillId="3" borderId="16" xfId="1" applyNumberFormat="1" applyFill="1" applyBorder="1" applyAlignment="1">
      <alignment vertical="center" wrapText="1"/>
    </xf>
    <xf numFmtId="2" fontId="3" fillId="3" borderId="23" xfId="1" applyNumberFormat="1" applyFill="1" applyBorder="1" applyAlignment="1">
      <alignment vertical="center" wrapText="1"/>
    </xf>
    <xf numFmtId="2" fontId="3" fillId="3" borderId="17" xfId="1" applyNumberFormat="1" applyFill="1" applyBorder="1" applyAlignment="1">
      <alignment vertical="center" wrapText="1"/>
    </xf>
    <xf numFmtId="2" fontId="0" fillId="5" borderId="23" xfId="0" applyNumberFormat="1" applyFill="1" applyBorder="1"/>
    <xf numFmtId="1" fontId="7" fillId="16" borderId="11" xfId="0" applyNumberFormat="1" applyFont="1" applyFill="1" applyBorder="1" applyAlignment="1">
      <alignment horizontal="center"/>
    </xf>
    <xf numFmtId="164" fontId="0" fillId="14" borderId="0" xfId="0" applyNumberFormat="1" applyFill="1"/>
    <xf numFmtId="0" fontId="19" fillId="8" borderId="38" xfId="0" applyFont="1" applyFill="1" applyBorder="1" applyAlignment="1">
      <alignment horizontal="center"/>
    </xf>
    <xf numFmtId="2" fontId="2" fillId="16" borderId="25" xfId="0" applyNumberFormat="1" applyFont="1" applyFill="1" applyBorder="1"/>
    <xf numFmtId="9" fontId="0" fillId="6" borderId="0" xfId="0" applyNumberFormat="1" applyFill="1" applyAlignment="1">
      <alignment horizontal="left" vertical="center"/>
    </xf>
    <xf numFmtId="2" fontId="21" fillId="9" borderId="14" xfId="0" applyNumberFormat="1" applyFont="1" applyFill="1" applyBorder="1" applyAlignment="1">
      <alignment horizontal="center" vertical="center"/>
    </xf>
    <xf numFmtId="2" fontId="0" fillId="14" borderId="0" xfId="0" applyNumberFormat="1" applyFill="1"/>
    <xf numFmtId="167" fontId="0" fillId="0" borderId="0" xfId="0" applyNumberFormat="1"/>
    <xf numFmtId="168" fontId="0" fillId="0" borderId="0" xfId="0" applyNumberFormat="1" applyAlignment="1">
      <alignment horizontal="center"/>
    </xf>
    <xf numFmtId="0" fontId="37" fillId="0" borderId="0" xfId="0" applyFont="1"/>
    <xf numFmtId="0" fontId="5" fillId="3" borderId="7" xfId="0" applyFont="1" applyFill="1" applyBorder="1" applyAlignment="1">
      <alignment horizontal="center" vertical="center"/>
    </xf>
    <xf numFmtId="1" fontId="5" fillId="15" borderId="7" xfId="0" applyNumberFormat="1" applyFont="1" applyFill="1" applyBorder="1" applyAlignment="1">
      <alignment horizontal="center"/>
    </xf>
    <xf numFmtId="2" fontId="0" fillId="14" borderId="14" xfId="0" applyNumberForma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38" fillId="0" borderId="14" xfId="0" applyFont="1" applyBorder="1"/>
    <xf numFmtId="0" fontId="38" fillId="3" borderId="14" xfId="0" applyFont="1" applyFill="1" applyBorder="1"/>
    <xf numFmtId="0" fontId="38" fillId="6" borderId="14" xfId="0" applyFont="1" applyFill="1" applyBorder="1"/>
    <xf numFmtId="2" fontId="38" fillId="0" borderId="14" xfId="0" applyNumberFormat="1" applyFont="1" applyBorder="1"/>
    <xf numFmtId="2" fontId="38" fillId="3" borderId="14" xfId="0" applyNumberFormat="1" applyFont="1" applyFill="1" applyBorder="1"/>
    <xf numFmtId="0" fontId="39" fillId="3" borderId="14" xfId="0" applyFont="1" applyFill="1" applyBorder="1"/>
    <xf numFmtId="0" fontId="15" fillId="0" borderId="14" xfId="0" applyFont="1" applyBorder="1" applyAlignment="1">
      <alignment horizontal="center"/>
    </xf>
    <xf numFmtId="0" fontId="15" fillId="3" borderId="14" xfId="0" applyFont="1" applyFill="1" applyBorder="1" applyAlignment="1">
      <alignment horizontal="center"/>
    </xf>
    <xf numFmtId="0" fontId="15" fillId="6" borderId="14" xfId="0" applyFont="1" applyFill="1" applyBorder="1" applyAlignment="1">
      <alignment horizontal="center"/>
    </xf>
    <xf numFmtId="0" fontId="15" fillId="6" borderId="14" xfId="0" applyFont="1" applyFill="1" applyBorder="1"/>
    <xf numFmtId="0" fontId="15" fillId="3" borderId="14" xfId="0" applyFont="1" applyFill="1" applyBorder="1"/>
    <xf numFmtId="0" fontId="15" fillId="17" borderId="14" xfId="0" applyFont="1" applyFill="1" applyBorder="1"/>
    <xf numFmtId="0" fontId="15" fillId="13" borderId="14" xfId="0" applyFont="1" applyFill="1" applyBorder="1"/>
    <xf numFmtId="0" fontId="15" fillId="0" borderId="14" xfId="0" applyFont="1" applyBorder="1"/>
    <xf numFmtId="1" fontId="15" fillId="0" borderId="14" xfId="0" applyNumberFormat="1" applyFont="1" applyBorder="1" applyAlignment="1">
      <alignment horizontal="center"/>
    </xf>
    <xf numFmtId="1" fontId="15" fillId="3" borderId="14" xfId="0" applyNumberFormat="1" applyFont="1" applyFill="1" applyBorder="1" applyAlignment="1">
      <alignment horizontal="center"/>
    </xf>
    <xf numFmtId="1" fontId="15" fillId="6" borderId="14" xfId="0" applyNumberFormat="1" applyFont="1" applyFill="1" applyBorder="1" applyAlignment="1">
      <alignment horizontal="center"/>
    </xf>
    <xf numFmtId="1" fontId="15" fillId="6" borderId="14" xfId="0" applyNumberFormat="1" applyFont="1" applyFill="1" applyBorder="1"/>
    <xf numFmtId="1" fontId="15" fillId="3" borderId="14" xfId="0" applyNumberFormat="1" applyFont="1" applyFill="1" applyBorder="1"/>
    <xf numFmtId="1" fontId="15" fillId="17" borderId="14" xfId="0" applyNumberFormat="1" applyFont="1" applyFill="1" applyBorder="1"/>
    <xf numFmtId="1" fontId="15" fillId="13" borderId="14" xfId="0" applyNumberFormat="1" applyFont="1" applyFill="1" applyBorder="1"/>
    <xf numFmtId="2" fontId="15" fillId="6" borderId="14" xfId="0" applyNumberFormat="1" applyFont="1" applyFill="1" applyBorder="1"/>
    <xf numFmtId="1" fontId="39" fillId="6" borderId="14" xfId="0" applyNumberFormat="1" applyFont="1" applyFill="1" applyBorder="1" applyAlignment="1">
      <alignment horizontal="center"/>
    </xf>
    <xf numFmtId="1" fontId="39" fillId="3" borderId="14" xfId="0" applyNumberFormat="1" applyFont="1" applyFill="1" applyBorder="1" applyAlignment="1">
      <alignment horizontal="center"/>
    </xf>
    <xf numFmtId="1" fontId="39" fillId="3" borderId="14" xfId="0" applyNumberFormat="1" applyFont="1" applyFill="1" applyBorder="1"/>
    <xf numFmtId="0" fontId="15" fillId="3" borderId="0" xfId="0" applyFont="1" applyFill="1"/>
    <xf numFmtId="0" fontId="15" fillId="6" borderId="0" xfId="0" applyFont="1" applyFill="1"/>
    <xf numFmtId="0" fontId="15" fillId="17" borderId="0" xfId="0" applyFont="1" applyFill="1"/>
    <xf numFmtId="0" fontId="15" fillId="13" borderId="0" xfId="0" applyFont="1" applyFill="1"/>
    <xf numFmtId="9" fontId="15" fillId="0" borderId="14" xfId="0" applyNumberFormat="1" applyFont="1" applyBorder="1" applyAlignment="1">
      <alignment horizontal="center"/>
    </xf>
    <xf numFmtId="9" fontId="15" fillId="3" borderId="14" xfId="0" applyNumberFormat="1" applyFont="1" applyFill="1" applyBorder="1" applyAlignment="1">
      <alignment horizontal="center"/>
    </xf>
    <xf numFmtId="9" fontId="15" fillId="6" borderId="14" xfId="0" applyNumberFormat="1" applyFont="1" applyFill="1" applyBorder="1" applyAlignment="1">
      <alignment horizontal="center"/>
    </xf>
    <xf numFmtId="9" fontId="15" fillId="17" borderId="14" xfId="0" applyNumberFormat="1" applyFont="1" applyFill="1" applyBorder="1"/>
    <xf numFmtId="9" fontId="15" fillId="3" borderId="14" xfId="0" applyNumberFormat="1" applyFont="1" applyFill="1" applyBorder="1"/>
    <xf numFmtId="9" fontId="15" fillId="13" borderId="14" xfId="0" applyNumberFormat="1" applyFont="1" applyFill="1" applyBorder="1"/>
    <xf numFmtId="9" fontId="15" fillId="6" borderId="14" xfId="0" applyNumberFormat="1" applyFont="1" applyFill="1" applyBorder="1"/>
    <xf numFmtId="1" fontId="15" fillId="3" borderId="29" xfId="0" applyNumberFormat="1" applyFont="1" applyFill="1" applyBorder="1"/>
    <xf numFmtId="2" fontId="15" fillId="3" borderId="14" xfId="0" applyNumberFormat="1" applyFont="1" applyFill="1" applyBorder="1"/>
    <xf numFmtId="2" fontId="15" fillId="13" borderId="14" xfId="0" applyNumberFormat="1" applyFont="1" applyFill="1" applyBorder="1"/>
    <xf numFmtId="2" fontId="15" fillId="0" borderId="14" xfId="0" applyNumberFormat="1" applyFont="1" applyBorder="1"/>
    <xf numFmtId="2" fontId="15" fillId="3" borderId="29" xfId="0" applyNumberFormat="1" applyFont="1" applyFill="1" applyBorder="1"/>
    <xf numFmtId="2" fontId="15" fillId="17" borderId="14" xfId="0" applyNumberFormat="1" applyFont="1" applyFill="1" applyBorder="1"/>
    <xf numFmtId="9" fontId="15" fillId="3" borderId="29" xfId="0" applyNumberFormat="1" applyFont="1" applyFill="1" applyBorder="1"/>
    <xf numFmtId="9" fontId="15" fillId="0" borderId="14" xfId="0" applyNumberFormat="1" applyFont="1" applyBorder="1"/>
    <xf numFmtId="0" fontId="23" fillId="3" borderId="14" xfId="0" applyFont="1" applyFill="1" applyBorder="1"/>
    <xf numFmtId="0" fontId="23" fillId="0" borderId="14" xfId="0" applyFont="1" applyBorder="1" applyAlignment="1">
      <alignment horizontal="center"/>
    </xf>
    <xf numFmtId="0" fontId="14" fillId="0" borderId="0" xfId="0" applyFont="1"/>
    <xf numFmtId="167" fontId="14" fillId="0" borderId="0" xfId="0" applyNumberFormat="1" applyFont="1"/>
    <xf numFmtId="2" fontId="14" fillId="0" borderId="0" xfId="0" applyNumberFormat="1" applyFont="1"/>
    <xf numFmtId="168" fontId="14" fillId="0" borderId="0" xfId="0" applyNumberFormat="1" applyFont="1" applyAlignment="1">
      <alignment horizontal="center"/>
    </xf>
    <xf numFmtId="2" fontId="14" fillId="14" borderId="0" xfId="0" applyNumberFormat="1" applyFont="1" applyFill="1"/>
    <xf numFmtId="0" fontId="14" fillId="14" borderId="0" xfId="0" applyFont="1" applyFill="1"/>
    <xf numFmtId="168" fontId="0" fillId="0" borderId="0" xfId="0" applyNumberFormat="1" applyAlignment="1">
      <alignment horizontal="left"/>
    </xf>
    <xf numFmtId="0" fontId="0" fillId="0" borderId="14" xfId="0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0" borderId="29" xfId="0" applyBorder="1"/>
    <xf numFmtId="0" fontId="0" fillId="0" borderId="16" xfId="0" applyBorder="1"/>
    <xf numFmtId="0" fontId="0" fillId="0" borderId="16" xfId="0" applyBorder="1" applyAlignment="1">
      <alignment horizontal="center"/>
    </xf>
    <xf numFmtId="167" fontId="6" fillId="0" borderId="14" xfId="0" applyNumberFormat="1" applyFont="1" applyBorder="1"/>
    <xf numFmtId="0" fontId="0" fillId="0" borderId="88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14" fontId="0" fillId="0" borderId="0" xfId="0" applyNumberFormat="1"/>
    <xf numFmtId="0" fontId="0" fillId="0" borderId="14" xfId="0" applyBorder="1" applyAlignment="1">
      <alignment horizontal="left"/>
    </xf>
    <xf numFmtId="14" fontId="0" fillId="0" borderId="14" xfId="0" applyNumberFormat="1" applyBorder="1"/>
    <xf numFmtId="2" fontId="15" fillId="0" borderId="0" xfId="0" applyNumberFormat="1" applyFont="1"/>
    <xf numFmtId="0" fontId="25" fillId="0" borderId="0" xfId="0" applyFont="1"/>
    <xf numFmtId="0" fontId="40" fillId="13" borderId="14" xfId="0" applyFont="1" applyFill="1" applyBorder="1"/>
    <xf numFmtId="1" fontId="40" fillId="13" borderId="14" xfId="0" applyNumberFormat="1" applyFont="1" applyFill="1" applyBorder="1"/>
    <xf numFmtId="0" fontId="40" fillId="13" borderId="0" xfId="0" applyFont="1" applyFill="1"/>
    <xf numFmtId="9" fontId="40" fillId="13" borderId="14" xfId="0" applyNumberFormat="1" applyFont="1" applyFill="1" applyBorder="1"/>
    <xf numFmtId="2" fontId="40" fillId="13" borderId="14" xfId="0" applyNumberFormat="1" applyFont="1" applyFill="1" applyBorder="1"/>
    <xf numFmtId="0" fontId="23" fillId="3" borderId="14" xfId="0" applyFont="1" applyFill="1" applyBorder="1" applyAlignment="1">
      <alignment wrapText="1"/>
    </xf>
    <xf numFmtId="0" fontId="0" fillId="2" borderId="14" xfId="0" applyFill="1" applyBorder="1"/>
    <xf numFmtId="0" fontId="0" fillId="2" borderId="14" xfId="0" applyFill="1" applyBorder="1" applyAlignment="1">
      <alignment horizontal="left"/>
    </xf>
    <xf numFmtId="0" fontId="6" fillId="3" borderId="0" xfId="0" applyFont="1" applyFill="1"/>
    <xf numFmtId="0" fontId="19" fillId="3" borderId="0" xfId="0" applyFont="1" applyFill="1"/>
    <xf numFmtId="17" fontId="11" fillId="0" borderId="9" xfId="0" applyNumberFormat="1" applyFont="1" applyBorder="1" applyAlignment="1">
      <alignment horizontal="center" vertical="center" wrapText="1"/>
    </xf>
    <xf numFmtId="2" fontId="5" fillId="3" borderId="58" xfId="0" applyNumberFormat="1" applyFont="1" applyFill="1" applyBorder="1" applyAlignment="1">
      <alignment horizontal="right"/>
    </xf>
    <xf numFmtId="2" fontId="19" fillId="5" borderId="16" xfId="0" applyNumberFormat="1" applyFont="1" applyFill="1" applyBorder="1"/>
    <xf numFmtId="1" fontId="0" fillId="15" borderId="14" xfId="0" applyNumberFormat="1" applyFill="1" applyBorder="1" applyAlignment="1">
      <alignment horizontal="center"/>
    </xf>
    <xf numFmtId="1" fontId="0" fillId="15" borderId="29" xfId="0" applyNumberFormat="1" applyFill="1" applyBorder="1" applyAlignment="1">
      <alignment horizontal="center"/>
    </xf>
    <xf numFmtId="1" fontId="0" fillId="15" borderId="38" xfId="0" applyNumberFormat="1" applyFill="1" applyBorder="1" applyAlignment="1">
      <alignment horizontal="center"/>
    </xf>
    <xf numFmtId="2" fontId="5" fillId="4" borderId="58" xfId="0" applyNumberFormat="1" applyFont="1" applyFill="1" applyBorder="1" applyAlignment="1">
      <alignment horizontal="right"/>
    </xf>
    <xf numFmtId="0" fontId="3" fillId="14" borderId="24" xfId="1" applyFill="1" applyBorder="1" applyAlignment="1">
      <alignment vertical="center" wrapText="1"/>
    </xf>
    <xf numFmtId="0" fontId="0" fillId="3" borderId="14" xfId="0" applyFill="1" applyBorder="1"/>
    <xf numFmtId="0" fontId="0" fillId="2" borderId="16" xfId="0" applyFill="1" applyBorder="1"/>
    <xf numFmtId="2" fontId="20" fillId="5" borderId="16" xfId="0" applyNumberFormat="1" applyFont="1" applyFill="1" applyBorder="1"/>
    <xf numFmtId="0" fontId="15" fillId="3" borderId="14" xfId="0" applyFont="1" applyFill="1" applyBorder="1" applyAlignment="1">
      <alignment wrapText="1"/>
    </xf>
    <xf numFmtId="9" fontId="15" fillId="0" borderId="16" xfId="0" applyNumberFormat="1" applyFont="1" applyBorder="1" applyAlignment="1">
      <alignment horizontal="center"/>
    </xf>
    <xf numFmtId="9" fontId="15" fillId="3" borderId="16" xfId="0" applyNumberFormat="1" applyFont="1" applyFill="1" applyBorder="1" applyAlignment="1">
      <alignment horizontal="center"/>
    </xf>
    <xf numFmtId="9" fontId="15" fillId="6" borderId="16" xfId="0" applyNumberFormat="1" applyFont="1" applyFill="1" applyBorder="1" applyAlignment="1">
      <alignment horizontal="center"/>
    </xf>
    <xf numFmtId="9" fontId="15" fillId="3" borderId="26" xfId="0" applyNumberFormat="1" applyFont="1" applyFill="1" applyBorder="1" applyAlignment="1">
      <alignment horizontal="center"/>
    </xf>
    <xf numFmtId="9" fontId="15" fillId="3" borderId="16" xfId="0" applyNumberFormat="1" applyFont="1" applyFill="1" applyBorder="1"/>
    <xf numFmtId="1" fontId="15" fillId="0" borderId="17" xfId="0" applyNumberFormat="1" applyFont="1" applyBorder="1"/>
    <xf numFmtId="1" fontId="15" fillId="3" borderId="17" xfId="0" applyNumberFormat="1" applyFont="1" applyFill="1" applyBorder="1"/>
    <xf numFmtId="1" fontId="15" fillId="6" borderId="17" xfId="0" applyNumberFormat="1" applyFont="1" applyFill="1" applyBorder="1"/>
    <xf numFmtId="1" fontId="15" fillId="3" borderId="88" xfId="0" applyNumberFormat="1" applyFont="1" applyFill="1" applyBorder="1"/>
    <xf numFmtId="1" fontId="15" fillId="17" borderId="17" xfId="0" applyNumberFormat="1" applyFont="1" applyFill="1" applyBorder="1"/>
    <xf numFmtId="1" fontId="40" fillId="13" borderId="17" xfId="0" applyNumberFormat="1" applyFont="1" applyFill="1" applyBorder="1"/>
    <xf numFmtId="2" fontId="15" fillId="3" borderId="17" xfId="0" applyNumberFormat="1" applyFont="1" applyFill="1" applyBorder="1"/>
    <xf numFmtId="2" fontId="15" fillId="13" borderId="17" xfId="0" applyNumberFormat="1" applyFont="1" applyFill="1" applyBorder="1"/>
    <xf numFmtId="2" fontId="39" fillId="3" borderId="14" xfId="0" applyNumberFormat="1" applyFont="1" applyFill="1" applyBorder="1"/>
    <xf numFmtId="0" fontId="0" fillId="0" borderId="0" xfId="0" applyAlignment="1">
      <alignment horizontal="left"/>
    </xf>
    <xf numFmtId="0" fontId="21" fillId="0" borderId="14" xfId="0" applyFont="1" applyBorder="1" applyAlignment="1">
      <alignment horizontal="center" vertical="center"/>
    </xf>
    <xf numFmtId="1" fontId="0" fillId="3" borderId="15" xfId="0" applyNumberFormat="1" applyFill="1" applyBorder="1"/>
    <xf numFmtId="2" fontId="20" fillId="0" borderId="14" xfId="0" applyNumberFormat="1" applyFont="1" applyBorder="1" applyAlignment="1">
      <alignment horizontal="center" vertical="center"/>
    </xf>
    <xf numFmtId="2" fontId="15" fillId="3" borderId="0" xfId="0" applyNumberFormat="1" applyFont="1" applyFill="1"/>
    <xf numFmtId="0" fontId="3" fillId="3" borderId="57" xfId="1" applyFill="1" applyBorder="1" applyAlignment="1">
      <alignment vertical="center" wrapText="1"/>
    </xf>
    <xf numFmtId="2" fontId="5" fillId="4" borderId="59" xfId="0" applyNumberFormat="1" applyFont="1" applyFill="1" applyBorder="1" applyAlignment="1">
      <alignment horizontal="right"/>
    </xf>
    <xf numFmtId="2" fontId="5" fillId="9" borderId="14" xfId="0" applyNumberFormat="1" applyFont="1" applyFill="1" applyBorder="1" applyAlignment="1">
      <alignment horizontal="center" vertical="center"/>
    </xf>
    <xf numFmtId="2" fontId="21" fillId="0" borderId="14" xfId="0" applyNumberFormat="1" applyFont="1" applyBorder="1" applyAlignment="1">
      <alignment horizontal="center" vertical="center"/>
    </xf>
    <xf numFmtId="0" fontId="40" fillId="3" borderId="14" xfId="0" applyFont="1" applyFill="1" applyBorder="1"/>
    <xf numFmtId="1" fontId="40" fillId="3" borderId="14" xfId="0" applyNumberFormat="1" applyFont="1" applyFill="1" applyBorder="1"/>
    <xf numFmtId="9" fontId="40" fillId="3" borderId="16" xfId="0" applyNumberFormat="1" applyFont="1" applyFill="1" applyBorder="1"/>
    <xf numFmtId="2" fontId="40" fillId="3" borderId="14" xfId="0" applyNumberFormat="1" applyFont="1" applyFill="1" applyBorder="1"/>
    <xf numFmtId="0" fontId="6" fillId="0" borderId="29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0" fillId="0" borderId="78" xfId="0" applyBorder="1"/>
    <xf numFmtId="0" fontId="0" fillId="0" borderId="55" xfId="0" applyBorder="1"/>
    <xf numFmtId="0" fontId="6" fillId="0" borderId="15" xfId="0" applyFont="1" applyBorder="1"/>
    <xf numFmtId="0" fontId="6" fillId="0" borderId="57" xfId="0" applyFont="1" applyBorder="1"/>
    <xf numFmtId="0" fontId="6" fillId="0" borderId="28" xfId="0" applyFont="1" applyBorder="1"/>
    <xf numFmtId="2" fontId="15" fillId="6" borderId="0" xfId="0" applyNumberFormat="1" applyFont="1" applyFill="1"/>
    <xf numFmtId="2" fontId="40" fillId="3" borderId="0" xfId="0" applyNumberFormat="1" applyFont="1" applyFill="1"/>
    <xf numFmtId="0" fontId="15" fillId="0" borderId="0" xfId="0" applyFont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2" fillId="6" borderId="29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14" fontId="2" fillId="6" borderId="26" xfId="0" applyNumberFormat="1" applyFont="1" applyFill="1" applyBorder="1" applyAlignment="1">
      <alignment horizontal="center" vertical="center"/>
    </xf>
    <xf numFmtId="14" fontId="2" fillId="6" borderId="30" xfId="0" applyNumberFormat="1" applyFont="1" applyFill="1" applyBorder="1" applyAlignment="1">
      <alignment horizontal="center" vertical="center"/>
    </xf>
    <xf numFmtId="14" fontId="2" fillId="6" borderId="53" xfId="0" applyNumberFormat="1" applyFont="1" applyFill="1" applyBorder="1" applyAlignment="1">
      <alignment horizontal="center" vertical="center"/>
    </xf>
    <xf numFmtId="14" fontId="2" fillId="6" borderId="54" xfId="0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17" fontId="2" fillId="0" borderId="26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7" fillId="0" borderId="69" xfId="0" applyFont="1" applyBorder="1" applyAlignment="1">
      <alignment horizontal="left"/>
    </xf>
    <xf numFmtId="0" fontId="9" fillId="0" borderId="112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11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0" xfId="0" applyFont="1" applyBorder="1" applyAlignment="1">
      <alignment horizontal="center"/>
    </xf>
    <xf numFmtId="17" fontId="2" fillId="0" borderId="78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88" xfId="0" applyFont="1" applyBorder="1" applyAlignment="1">
      <alignment horizontal="center"/>
    </xf>
    <xf numFmtId="0" fontId="6" fillId="0" borderId="1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9" fillId="0" borderId="116" xfId="0" applyFont="1" applyBorder="1" applyAlignment="1">
      <alignment horizontal="center"/>
    </xf>
    <xf numFmtId="0" fontId="9" fillId="0" borderId="117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113" xfId="0" applyBorder="1" applyAlignment="1">
      <alignment horizontal="center"/>
    </xf>
    <xf numFmtId="0" fontId="17" fillId="0" borderId="69" xfId="0" applyFont="1" applyBorder="1" applyAlignment="1">
      <alignment horizontal="left" wrapText="1"/>
    </xf>
    <xf numFmtId="0" fontId="36" fillId="0" borderId="69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0" xfId="0" applyFont="1" applyBorder="1" applyAlignment="1">
      <alignment horizontal="center"/>
    </xf>
    <xf numFmtId="0" fontId="17" fillId="0" borderId="69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17" fontId="2" fillId="0" borderId="0" xfId="0" applyNumberFormat="1" applyFont="1" applyAlignment="1">
      <alignment horizontal="center"/>
    </xf>
    <xf numFmtId="0" fontId="12" fillId="0" borderId="115" xfId="0" applyFont="1" applyBorder="1" applyAlignment="1">
      <alignment horizontal="center" vertical="center" wrapText="1"/>
    </xf>
    <xf numFmtId="0" fontId="12" fillId="0" borderId="70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17" fontId="2" fillId="0" borderId="29" xfId="0" applyNumberFormat="1" applyFont="1" applyBorder="1" applyAlignment="1">
      <alignment horizontal="center"/>
    </xf>
    <xf numFmtId="17" fontId="2" fillId="0" borderId="28" xfId="0" applyNumberFormat="1" applyFont="1" applyBorder="1" applyAlignment="1">
      <alignment horizontal="center"/>
    </xf>
    <xf numFmtId="0" fontId="0" fillId="0" borderId="65" xfId="0" applyBorder="1" applyAlignment="1">
      <alignment horizontal="center"/>
    </xf>
    <xf numFmtId="17" fontId="2" fillId="0" borderId="76" xfId="0" applyNumberFormat="1" applyFont="1" applyBorder="1" applyAlignment="1">
      <alignment horizontal="center"/>
    </xf>
    <xf numFmtId="0" fontId="34" fillId="3" borderId="69" xfId="0" applyFont="1" applyFill="1" applyBorder="1" applyAlignment="1">
      <alignment horizontal="center"/>
    </xf>
    <xf numFmtId="0" fontId="32" fillId="0" borderId="69" xfId="0" applyFont="1" applyBorder="1" applyAlignment="1">
      <alignment horizontal="center"/>
    </xf>
    <xf numFmtId="0" fontId="22" fillId="0" borderId="69" xfId="0" applyFont="1" applyBorder="1" applyAlignment="1">
      <alignment horizontal="left"/>
    </xf>
    <xf numFmtId="0" fontId="29" fillId="0" borderId="69" xfId="0" applyFont="1" applyBorder="1" applyAlignment="1">
      <alignment horizontal="center"/>
    </xf>
    <xf numFmtId="0" fontId="9" fillId="0" borderId="114" xfId="0" applyFont="1" applyBorder="1" applyAlignment="1">
      <alignment horizontal="center"/>
    </xf>
    <xf numFmtId="166" fontId="2" fillId="6" borderId="26" xfId="0" applyNumberFormat="1" applyFont="1" applyFill="1" applyBorder="1" applyAlignment="1">
      <alignment horizontal="center" vertical="center"/>
    </xf>
    <xf numFmtId="166" fontId="2" fillId="6" borderId="30" xfId="0" applyNumberFormat="1" applyFont="1" applyFill="1" applyBorder="1" applyAlignment="1">
      <alignment horizontal="center" vertical="center"/>
    </xf>
    <xf numFmtId="166" fontId="2" fillId="6" borderId="53" xfId="0" applyNumberFormat="1" applyFont="1" applyFill="1" applyBorder="1" applyAlignment="1">
      <alignment horizontal="center" vertical="center"/>
    </xf>
    <xf numFmtId="166" fontId="2" fillId="6" borderId="54" xfId="0" applyNumberFormat="1" applyFont="1" applyFill="1" applyBorder="1" applyAlignment="1">
      <alignment horizontal="center" vertical="center"/>
    </xf>
    <xf numFmtId="0" fontId="13" fillId="0" borderId="61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73" xfId="0" applyFont="1" applyBorder="1" applyAlignment="1">
      <alignment horizontal="center"/>
    </xf>
    <xf numFmtId="0" fontId="13" fillId="0" borderId="64" xfId="0" applyFont="1" applyBorder="1" applyAlignment="1">
      <alignment horizontal="center"/>
    </xf>
    <xf numFmtId="0" fontId="6" fillId="0" borderId="7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74" xfId="0" applyFont="1" applyBorder="1" applyAlignment="1">
      <alignment horizontal="center"/>
    </xf>
    <xf numFmtId="0" fontId="29" fillId="0" borderId="92" xfId="0" applyFont="1" applyBorder="1" applyAlignment="1">
      <alignment horizontal="center"/>
    </xf>
    <xf numFmtId="0" fontId="29" fillId="0" borderId="93" xfId="0" applyFont="1" applyBorder="1" applyAlignment="1">
      <alignment horizontal="center"/>
    </xf>
    <xf numFmtId="0" fontId="12" fillId="0" borderId="30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99" xfId="0" applyFont="1" applyBorder="1" applyAlignment="1">
      <alignment horizontal="center" vertical="center" wrapText="1"/>
    </xf>
    <xf numFmtId="0" fontId="12" fillId="0" borderId="100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64" xfId="0" applyFont="1" applyBorder="1" applyAlignment="1">
      <alignment horizontal="center" wrapText="1"/>
    </xf>
    <xf numFmtId="0" fontId="6" fillId="0" borderId="64" xfId="0" applyFont="1" applyBorder="1" applyAlignment="1">
      <alignment horizontal="center"/>
    </xf>
    <xf numFmtId="0" fontId="9" fillId="0" borderId="94" xfId="0" applyFont="1" applyBorder="1" applyAlignment="1">
      <alignment horizontal="center"/>
    </xf>
    <xf numFmtId="0" fontId="8" fillId="0" borderId="95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2" fillId="6" borderId="109" xfId="0" applyNumberFormat="1" applyFont="1" applyFill="1" applyBorder="1" applyAlignment="1">
      <alignment horizontal="center" vertical="center"/>
    </xf>
    <xf numFmtId="14" fontId="2" fillId="6" borderId="110" xfId="0" applyNumberFormat="1" applyFont="1" applyFill="1" applyBorder="1" applyAlignment="1">
      <alignment horizontal="center" vertical="center"/>
    </xf>
    <xf numFmtId="0" fontId="17" fillId="0" borderId="69" xfId="0" applyFont="1" applyBorder="1" applyAlignment="1">
      <alignment horizontal="center" wrapText="1"/>
    </xf>
    <xf numFmtId="0" fontId="17" fillId="0" borderId="68" xfId="0" applyFont="1" applyBorder="1" applyAlignment="1">
      <alignment horizontal="center"/>
    </xf>
  </cellXfs>
  <cellStyles count="5">
    <cellStyle name="Excel Built-in Normal" xfId="1" xr:uid="{8B38EE2C-9430-4070-B9D8-0F5A1DBD77A8}"/>
    <cellStyle name="Hyperlink" xfId="4" builtinId="8"/>
    <cellStyle name="Normal" xfId="0" builtinId="0"/>
    <cellStyle name="Normal 2" xfId="3" xr:uid="{8B176194-964F-4D3C-9F66-51C971DB55F5}"/>
    <cellStyle name="Percent" xfId="2" builtinId="5"/>
  </cellStyles>
  <dxfs count="43"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theme="9" tint="0.39997558519241921"/>
        </patternFill>
      </fill>
    </dxf>
    <dxf>
      <font>
        <color rgb="FFFF0000"/>
      </font>
      <fill>
        <patternFill patternType="solid">
          <bgColor theme="9" tint="0.39997558519241921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theme="9" tint="0.39997558519241921"/>
        </patternFill>
      </fill>
    </dxf>
    <dxf>
      <font>
        <color rgb="FF9C0006"/>
      </font>
      <fill>
        <patternFill patternType="solid">
          <bgColor theme="9" tint="0.39997558519241921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theme="9" tint="0.39997558519241921"/>
        </patternFill>
      </fill>
    </dxf>
    <dxf>
      <font>
        <color rgb="FF9C0006"/>
      </font>
      <fill>
        <patternFill patternType="solid">
          <bgColor theme="9" tint="0.39997558519241921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92D050"/>
        </patternFill>
      </fill>
    </dxf>
    <dxf>
      <font>
        <color rgb="FFFF0000"/>
      </font>
      <fill>
        <patternFill patternType="solid">
          <bgColor rgb="FFFFFFFF"/>
        </patternFill>
      </fill>
    </dxf>
    <dxf>
      <font>
        <color rgb="FFFF0000"/>
      </font>
      <fill>
        <patternFill patternType="solid">
          <bgColor rgb="FFFFFFFF"/>
        </patternFill>
      </fill>
    </dxf>
  </dxfs>
  <tableStyles count="0" defaultTableStyle="TableStyleMedium2" defaultPivotStyle="PivotStyleLight16"/>
  <colors>
    <mruColors>
      <color rgb="FFFCD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115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116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117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118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119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120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121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122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32-4040-AF9B-035A2260097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32-4040-AF9B-035A2260097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32-4040-AF9B-035A22600977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'29'!$A$20:$A$22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'29'!$B$20:$B$22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2-4040-AF9B-035A22600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420033561378598"/>
          <c:y val="0.35064632545931756"/>
          <c:w val="0.57136371068370551"/>
          <c:h val="0.44058989501312334"/>
        </c:manualLayout>
      </c:layout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'29'!$AB$6:$AD$6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57-4D72-967F-2751D7AA9F3C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'29'!$AB$7:$AD$7</c:f>
              <c:numCache>
                <c:formatCode>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BB57-4D72-967F-2751D7AA9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layout>
        <c:manualLayout>
          <c:xMode val="edge"/>
          <c:yMode val="edge"/>
          <c:x val="0.20421593642258132"/>
          <c:y val="3.35429769392033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numRef>
              <c:f>'29'!$L$6:$M$6</c:f>
              <c:numCache>
                <c:formatCode>0%</c:formatCode>
                <c:ptCount val="2"/>
                <c:pt idx="0">
                  <c:v>0.4</c:v>
                </c:pt>
                <c:pt idx="1">
                  <c:v>0.6</c:v>
                </c:pt>
              </c:numCache>
            </c:numRef>
          </c:cat>
          <c:val>
            <c:numRef>
              <c:f>'29'!$L$8:$M$8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0-5BD6-4CBC-878B-E18AB6E4B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'29'!$L$6:$M$6</c:f>
              <c:numCache>
                <c:formatCode>0%</c:formatCode>
                <c:ptCount val="2"/>
                <c:pt idx="0">
                  <c:v>0.4</c:v>
                </c:pt>
                <c:pt idx="1">
                  <c:v>0.6</c:v>
                </c:pt>
              </c:numCache>
            </c:numRef>
          </c:cat>
          <c:val>
            <c:numRef>
              <c:f>'29'!$L$7:$M$7</c:f>
              <c:numCache>
                <c:formatCode>0%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D6-4CBC-878B-E18AB6E4B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'29'!$K$22:$M$22</c:f>
              <c:numCache>
                <c:formatCode>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8436-4770-9B50-BA877287640A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'29'!$K$21:$M$21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6-4770-9B50-BA8772876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'29'!$AB$22:$AD$22</c:f>
              <c:numCache>
                <c:formatCode>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1D3D-4206-9F8A-424E91EEF86C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'29'!$AB$21:$AD$21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3D-4206-9F8A-424E91EEF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29-4146-AE61-57ACB913292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A29-4146-AE61-57ACB913292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A29-4146-AE61-57ACB913292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'28'!$A$20:$A$22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'28'!$B$20:$B$22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A29-4146-AE61-57ACB9132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420033561378598"/>
          <c:y val="0.35064632545931756"/>
          <c:w val="0.57136371068370551"/>
          <c:h val="0.44058989501312334"/>
        </c:manualLayout>
      </c:layout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'28'!$AB$6:$AD$6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57-4345-8F13-5DB1B18DA56B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'28'!$AB$7:$AD$7</c:f>
              <c:numCache>
                <c:formatCode>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9F57-4345-8F13-5DB1B18DA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layout>
        <c:manualLayout>
          <c:xMode val="edge"/>
          <c:yMode val="edge"/>
          <c:x val="0.20421593642258132"/>
          <c:y val="3.35429769392033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numRef>
              <c:f>'28'!$K$6:$U$6</c:f>
              <c:numCache>
                <c:formatCode>0%</c:formatCode>
                <c:ptCount val="5"/>
                <c:pt idx="0">
                  <c:v>0.2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</c:numCache>
            </c:numRef>
          </c:cat>
          <c:val>
            <c:numRef>
              <c:f>'28'!$K$8:$U$8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2C2-4B6C-965C-4F77B252B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'28'!$K$6:$U$6</c:f>
              <c:numCache>
                <c:formatCode>0%</c:formatCode>
                <c:ptCount val="5"/>
                <c:pt idx="0">
                  <c:v>0.2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</c:numCache>
            </c:numRef>
          </c:cat>
          <c:val>
            <c:numRef>
              <c:f>'28'!$K$7:$U$7</c:f>
              <c:numCache>
                <c:formatCode>0%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C2-4B6C-965C-4F77B252B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'28'!$K$22:$M$22</c:f>
              <c:numCache>
                <c:formatCode>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F30B-4BA7-8091-2F15D2A70C32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'28'!$K$21:$M$21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0B-4BA7-8091-2F15D2A70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'28'!$AB$22:$AD$22</c:f>
              <c:numCache>
                <c:formatCode>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B928-49A0-99E9-1608D1391624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'28'!$AB$21:$AD$21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28-49A0-99E9-1608D1391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884-49A1-B6E3-F4C63BF779B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884-49A1-B6E3-F4C63BF779B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884-49A1-B6E3-F4C63BF779B6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'27'!$A$21:$A$23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'27'!$B$21:$B$23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884-49A1-B6E3-F4C63BF77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cat>
            <c:strLit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'27'!$AB$6:$AM$6</c15:sqref>
                  </c15:fullRef>
                </c:ext>
              </c:extLst>
              <c:f>'27'!$AB$6:$AL$6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B-4D8A-8331-E750132B9739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cat>
            <c:strLit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'27'!$AB$7:$AM$7</c15:sqref>
                  </c15:fullRef>
                </c:ext>
              </c:extLst>
              <c:f>'27'!$AB$7:$AL$7</c:f>
              <c:numCache>
                <c:formatCode>0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AF8B-4D8A-8331-E750132B9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val>
            <c:numRef>
              <c:f>'27'!$K$23:$V$23</c:f>
            </c:numRef>
          </c:val>
          <c:extLst>
            <c:ext xmlns:c16="http://schemas.microsoft.com/office/drawing/2014/chart" uri="{C3380CC4-5D6E-409C-BE32-E72D297353CC}">
              <c16:uniqueId val="{00000000-E8D3-494F-AAAF-45D78EF7ED80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'27'!$K$22:$V$22</c:f>
            </c:numRef>
          </c:val>
          <c:extLst>
            <c:ext xmlns:c16="http://schemas.microsoft.com/office/drawing/2014/chart" uri="{C3380CC4-5D6E-409C-BE32-E72D297353CC}">
              <c16:uniqueId val="{00000001-E8D3-494F-AAAF-45D78EF7E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E0-4B62-B303-695ACAB3E8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E0-4B62-B303-695ACAB3E8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E0-4B62-B303-695ACAB3E8B7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'FAL (2)'!$A$20:$A$22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'FAL (2)'!$B$20:$B$22</c:f>
              <c:numCache>
                <c:formatCode>0</c:formatCode>
                <c:ptCount val="3"/>
                <c:pt idx="0">
                  <c:v>16.733886802622084</c:v>
                </c:pt>
                <c:pt idx="1">
                  <c:v>60.199617701910391</c:v>
                </c:pt>
                <c:pt idx="2">
                  <c:v>23.066495495467503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E0-4B62-B303-695ACAB3E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'FAL (2)'!$AD$6:$AN$6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35-4CE4-918E-C6D22835902F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'FAL (2)'!$AD$7:$AN$7</c:f>
              <c:numCache>
                <c:formatCode>0</c:formatCode>
                <c:ptCount val="3"/>
                <c:pt idx="0" formatCode="General">
                  <c:v>82.13</c:v>
                </c:pt>
                <c:pt idx="1">
                  <c:v>109.56</c:v>
                </c:pt>
                <c:pt idx="2">
                  <c:v>81.3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35-4CE4-918E-C6D228359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'FAL (2)'!$M$7:$Q$7</c:f>
            </c:numRef>
          </c:val>
          <c:extLst>
            <c:ext xmlns:c16="http://schemas.microsoft.com/office/drawing/2014/chart" uri="{C3380CC4-5D6E-409C-BE32-E72D297353CC}">
              <c16:uniqueId val="{00000000-E186-4F64-9C02-E16821F33ECD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'FAL (2)'!$M$8:$Q$8</c:f>
            </c:numRef>
          </c:val>
          <c:extLst>
            <c:ext xmlns:c16="http://schemas.microsoft.com/office/drawing/2014/chart" uri="{C3380CC4-5D6E-409C-BE32-E72D297353CC}">
              <c16:uniqueId val="{00000001-E186-4F64-9C02-E16821F33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'FAL (2)'!$M$6:$Q$6</c:f>
            </c:numRef>
          </c:val>
          <c:smooth val="0"/>
          <c:extLst>
            <c:ext xmlns:c16="http://schemas.microsoft.com/office/drawing/2014/chart" uri="{C3380CC4-5D6E-409C-BE32-E72D297353CC}">
              <c16:uniqueId val="{00000002-E186-4F64-9C02-E16821F33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'FAL (2)'!$M$22:$Q$22</c:f>
            </c:numRef>
          </c:val>
          <c:extLst>
            <c:ext xmlns:c16="http://schemas.microsoft.com/office/drawing/2014/chart" uri="{C3380CC4-5D6E-409C-BE32-E72D297353CC}">
              <c16:uniqueId val="{00000000-A16A-4961-9461-3C9CBFF101CA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'FAL (2)'!$M$21:$Q$21</c:f>
            </c:numRef>
          </c:val>
          <c:extLst>
            <c:ext xmlns:c16="http://schemas.microsoft.com/office/drawing/2014/chart" uri="{C3380CC4-5D6E-409C-BE32-E72D297353CC}">
              <c16:uniqueId val="{00000001-A16A-4961-9461-3C9CBFF10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'FAL (2)'!$AD$22:$AI$22</c:f>
              <c:numCache>
                <c:formatCode>0</c:formatCode>
                <c:ptCount val="3"/>
                <c:pt idx="0">
                  <c:v>2030.97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09-4A1B-8F6B-9E519C2D1913}"/>
            </c:ext>
          </c:extLst>
        </c:ser>
        <c:ser>
          <c:idx val="0"/>
          <c:order val="0"/>
          <c:invertIfNegative val="0"/>
          <c:val>
            <c:numRef>
              <c:f>'FAL (2)'!$AD$21:$AI$21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09-4A1B-8F6B-9E519C2D1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8E5-417B-8273-74CD63445C0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8E5-417B-8273-74CD63445C0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8E5-417B-8273-74CD63445C09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'BER2'!$A$20:$A$22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'BER2'!$B$20:$B$22</c:f>
              <c:numCache>
                <c:formatCode>0</c:formatCode>
                <c:ptCount val="3"/>
                <c:pt idx="0">
                  <c:v>61.913462374793525</c:v>
                </c:pt>
                <c:pt idx="1">
                  <c:v>28.959390405660351</c:v>
                </c:pt>
                <c:pt idx="2">
                  <c:v>9.1271472195461243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E5-417B-8273-74CD63445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'BER2'!$AB$6:$AI$6</c:f>
              <c:numCache>
                <c:formatCode>0</c:formatCode>
                <c:ptCount val="8"/>
                <c:pt idx="0">
                  <c:v>360.125</c:v>
                </c:pt>
                <c:pt idx="1">
                  <c:v>360.125</c:v>
                </c:pt>
                <c:pt idx="2">
                  <c:v>360.125</c:v>
                </c:pt>
                <c:pt idx="3">
                  <c:v>360.125</c:v>
                </c:pt>
                <c:pt idx="4">
                  <c:v>360.125</c:v>
                </c:pt>
                <c:pt idx="5">
                  <c:v>360.125</c:v>
                </c:pt>
                <c:pt idx="6">
                  <c:v>360.125</c:v>
                </c:pt>
                <c:pt idx="7">
                  <c:v>360.125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9F-431B-9511-0C42580CF27E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'BER2'!$AB$7:$AI$7</c:f>
              <c:numCache>
                <c:formatCode>0</c:formatCode>
                <c:ptCount val="8"/>
                <c:pt idx="0" formatCode="General">
                  <c:v>226.48000000000002</c:v>
                </c:pt>
                <c:pt idx="1">
                  <c:v>443.20000000000005</c:v>
                </c:pt>
                <c:pt idx="2">
                  <c:v>469.38</c:v>
                </c:pt>
                <c:pt idx="3">
                  <c:v>476.59999999999997</c:v>
                </c:pt>
                <c:pt idx="4">
                  <c:v>382.70000000000005</c:v>
                </c:pt>
                <c:pt idx="5">
                  <c:v>538.57000000000005</c:v>
                </c:pt>
                <c:pt idx="6">
                  <c:v>245.39</c:v>
                </c:pt>
                <c:pt idx="7">
                  <c:v>98.97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9F-431B-9511-0C42580CF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'BER2'!$K$6:$P$6</c:f>
            </c:strRef>
          </c:cat>
          <c:val>
            <c:numRef>
              <c:f>'BER2'!$K$8:$P$8</c:f>
            </c:numRef>
          </c:val>
          <c:extLst>
            <c:ext xmlns:c16="http://schemas.microsoft.com/office/drawing/2014/chart" uri="{C3380CC4-5D6E-409C-BE32-E72D297353CC}">
              <c16:uniqueId val="{00000001-E154-47F6-83D2-A11CCA8A0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'BER2'!$K$6:$P$6</c:f>
            </c:strRef>
          </c:cat>
          <c:val>
            <c:numRef>
              <c:f>'BER2'!$K$7:$P$7</c:f>
            </c:numRef>
          </c:val>
          <c:smooth val="0"/>
          <c:extLst>
            <c:ext xmlns:c16="http://schemas.microsoft.com/office/drawing/2014/chart" uri="{C3380CC4-5D6E-409C-BE32-E72D297353CC}">
              <c16:uniqueId val="{00000000-E154-47F6-83D2-A11CCA8A0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'BER2'!$K$22:$N$22</c:f>
            </c:numRef>
          </c:val>
          <c:extLst>
            <c:ext xmlns:c16="http://schemas.microsoft.com/office/drawing/2014/chart" uri="{C3380CC4-5D6E-409C-BE32-E72D297353CC}">
              <c16:uniqueId val="{00000000-D077-4089-91B1-3F0B1693BDCC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'BER2'!$K$21:$N$21</c:f>
            </c:numRef>
          </c:val>
          <c:extLst>
            <c:ext xmlns:c16="http://schemas.microsoft.com/office/drawing/2014/chart" uri="{C3380CC4-5D6E-409C-BE32-E72D297353CC}">
              <c16:uniqueId val="{00000001-D077-4089-91B1-3F0B1693B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'BER2'!$AB$22:$AI$22</c:f>
              <c:numCache>
                <c:formatCode>0</c:formatCode>
                <c:ptCount val="8"/>
                <c:pt idx="0">
                  <c:v>7223.22</c:v>
                </c:pt>
                <c:pt idx="1">
                  <c:v>2876.16</c:v>
                </c:pt>
                <c:pt idx="2">
                  <c:v>4059.7099999999996</c:v>
                </c:pt>
                <c:pt idx="3">
                  <c:v>1694.1499999999999</c:v>
                </c:pt>
                <c:pt idx="5">
                  <c:v>1819.42</c:v>
                </c:pt>
                <c:pt idx="6">
                  <c:v>325.69000000000005</c:v>
                </c:pt>
                <c:pt idx="7">
                  <c:v>217.8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AB-40E0-B2B0-BB1B770FF30E}"/>
            </c:ext>
          </c:extLst>
        </c:ser>
        <c:ser>
          <c:idx val="0"/>
          <c:order val="0"/>
          <c:invertIfNegative val="0"/>
          <c:val>
            <c:numRef>
              <c:f>'BER2'!$AB$21:$AI$21</c:f>
              <c:numCache>
                <c:formatCode>0</c:formatCode>
                <c:ptCount val="8"/>
                <c:pt idx="0">
                  <c:v>1300</c:v>
                </c:pt>
                <c:pt idx="1">
                  <c:v>1300</c:v>
                </c:pt>
                <c:pt idx="2">
                  <c:v>1300</c:v>
                </c:pt>
                <c:pt idx="3">
                  <c:v>1300</c:v>
                </c:pt>
                <c:pt idx="4">
                  <c:v>1300</c:v>
                </c:pt>
                <c:pt idx="5">
                  <c:v>1300</c:v>
                </c:pt>
                <c:pt idx="6">
                  <c:v>1300</c:v>
                </c:pt>
                <c:pt idx="7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AB-40E0-B2B0-BB1B770FF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905-4299-9D47-E9690C50E3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905-4299-9D47-E9690C50E3D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905-4299-9D47-E9690C50E3DC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SIEC!$A$20:$A$22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SIEC!$B$20:$B$22</c:f>
              <c:numCache>
                <c:formatCode>0</c:formatCode>
                <c:ptCount val="3"/>
                <c:pt idx="0">
                  <c:v>27.375382413364758</c:v>
                </c:pt>
                <c:pt idx="1">
                  <c:v>56.380961348326906</c:v>
                </c:pt>
                <c:pt idx="2">
                  <c:v>16.243656238308343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05-4299-9D47-E9690C50E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420033561378598"/>
          <c:y val="0.35064632545931756"/>
          <c:w val="0.57136371068370551"/>
          <c:h val="0.4405898950131233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SIEC!$AB$6:$AE$6</c:f>
              <c:numCache>
                <c:formatCode>0</c:formatCode>
                <c:ptCount val="4"/>
                <c:pt idx="0">
                  <c:v>203.988</c:v>
                </c:pt>
                <c:pt idx="1">
                  <c:v>203.988</c:v>
                </c:pt>
                <c:pt idx="2">
                  <c:v>203.988</c:v>
                </c:pt>
                <c:pt idx="3">
                  <c:v>203.988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7A-4768-BADB-370ED9A1A932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SIEC!$AB$7:$AE$7</c:f>
              <c:numCache>
                <c:formatCode>0</c:formatCode>
                <c:ptCount val="4"/>
                <c:pt idx="0" formatCode="General">
                  <c:v>155.37</c:v>
                </c:pt>
                <c:pt idx="1">
                  <c:v>213.71</c:v>
                </c:pt>
                <c:pt idx="2">
                  <c:v>121.13</c:v>
                </c:pt>
                <c:pt idx="3">
                  <c:v>192.601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7A-4768-BADB-370ED9A1A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SIEC!$K$22:$M$22</c:f>
            </c:numRef>
          </c:val>
          <c:extLst>
            <c:ext xmlns:c16="http://schemas.microsoft.com/office/drawing/2014/chart" uri="{C3380CC4-5D6E-409C-BE32-E72D297353CC}">
              <c16:uniqueId val="{00000000-8704-4C2B-A8AE-4528D114D19C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SIEC!$K$21:$M$21</c:f>
            </c:numRef>
          </c:val>
          <c:extLst>
            <c:ext xmlns:c16="http://schemas.microsoft.com/office/drawing/2014/chart" uri="{C3380CC4-5D6E-409C-BE32-E72D297353CC}">
              <c16:uniqueId val="{00000001-8704-4C2B-A8AE-4528D114D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SIEC!$AB$22:$AE$22</c:f>
              <c:numCache>
                <c:formatCode>0</c:formatCode>
                <c:ptCount val="4"/>
                <c:pt idx="0">
                  <c:v>3407.21</c:v>
                </c:pt>
                <c:pt idx="1">
                  <c:v>33.5</c:v>
                </c:pt>
                <c:pt idx="2">
                  <c:v>1320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8-47DF-87FE-30657A31CA08}"/>
            </c:ext>
          </c:extLst>
        </c:ser>
        <c:ser>
          <c:idx val="0"/>
          <c:order val="0"/>
          <c:invertIfNegative val="0"/>
          <c:val>
            <c:numRef>
              <c:f>SIEC!$AB$21:$AE$21</c:f>
              <c:numCache>
                <c:formatCode>0</c:formatCode>
                <c:ptCount val="4"/>
                <c:pt idx="0">
                  <c:v>1500</c:v>
                </c:pt>
                <c:pt idx="1">
                  <c:v>1500</c:v>
                </c:pt>
                <c:pt idx="2">
                  <c:v>1500</c:v>
                </c:pt>
                <c:pt idx="3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A8-47DF-87FE-30657A31C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33B-4D2E-8398-8498A2C5751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33B-4D2E-8398-8498A2C5751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33B-4D2E-8398-8498A2C57512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'TAL2'!$A$20:$A$22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'TAL2'!$B$20:$B$22</c:f>
              <c:numCache>
                <c:formatCode>0</c:formatCode>
                <c:ptCount val="3"/>
                <c:pt idx="0">
                  <c:v>60.190409882443689</c:v>
                </c:pt>
                <c:pt idx="1">
                  <c:v>36.255073194416582</c:v>
                </c:pt>
                <c:pt idx="2">
                  <c:v>3.5545169231397318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3B-4D2E-8398-8498A2C57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420033561378598"/>
          <c:y val="0.35064632545931756"/>
          <c:w val="0.57136371068370551"/>
          <c:h val="0.4405898950131233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'TAL2'!$AB$6:$AF$6</c:f>
              <c:numCache>
                <c:formatCode>0</c:formatCode>
                <c:ptCount val="5"/>
                <c:pt idx="0">
                  <c:v>243.4</c:v>
                </c:pt>
                <c:pt idx="1">
                  <c:v>243.4</c:v>
                </c:pt>
                <c:pt idx="2">
                  <c:v>243.4</c:v>
                </c:pt>
                <c:pt idx="3">
                  <c:v>243.4</c:v>
                </c:pt>
                <c:pt idx="4">
                  <c:v>243.4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27-4CE1-B27C-D2BC0A2BD150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'TAL2'!$AB$7:$AF$7</c:f>
              <c:numCache>
                <c:formatCode>0</c:formatCode>
                <c:ptCount val="5"/>
                <c:pt idx="0" formatCode="General">
                  <c:v>226</c:v>
                </c:pt>
                <c:pt idx="1">
                  <c:v>167.88</c:v>
                </c:pt>
                <c:pt idx="2">
                  <c:v>268.12</c:v>
                </c:pt>
                <c:pt idx="3">
                  <c:v>374.94</c:v>
                </c:pt>
                <c:pt idx="4">
                  <c:v>436.12000000000006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27-4CE1-B27C-D2BC0A2BD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layout>
        <c:manualLayout>
          <c:xMode val="edge"/>
          <c:yMode val="edge"/>
          <c:x val="0.20421593642258132"/>
          <c:y val="3.35429769392033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strRef>
              <c:f>'TAL2'!$K$6:$O$6</c:f>
            </c:strRef>
          </c:cat>
          <c:val>
            <c:numRef>
              <c:f>'TAL2'!$K$8:$O$8</c:f>
            </c:numRef>
          </c:val>
          <c:extLst>
            <c:ext xmlns:c16="http://schemas.microsoft.com/office/drawing/2014/chart" uri="{C3380CC4-5D6E-409C-BE32-E72D297353CC}">
              <c16:uniqueId val="{00000000-3B31-4D56-8D2D-2B9CB79F7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'TAL2'!$K$6:$O$6</c:f>
            </c:strRef>
          </c:cat>
          <c:val>
            <c:numRef>
              <c:f>'TAL2'!$K$7:$O$7</c:f>
            </c:numRef>
          </c:val>
          <c:smooth val="0"/>
          <c:extLst>
            <c:ext xmlns:c16="http://schemas.microsoft.com/office/drawing/2014/chart" uri="{C3380CC4-5D6E-409C-BE32-E72D297353CC}">
              <c16:uniqueId val="{00000001-3B31-4D56-8D2D-2B9CB79F7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'TAL2'!$K$22:$M$22</c:f>
            </c:numRef>
          </c:val>
          <c:extLst>
            <c:ext xmlns:c16="http://schemas.microsoft.com/office/drawing/2014/chart" uri="{C3380CC4-5D6E-409C-BE32-E72D297353CC}">
              <c16:uniqueId val="{00000000-781D-4DCC-87D2-36BCDF173F86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'TAL2'!$K$21:$M$21</c:f>
            </c:numRef>
          </c:val>
          <c:extLst>
            <c:ext xmlns:c16="http://schemas.microsoft.com/office/drawing/2014/chart" uri="{C3380CC4-5D6E-409C-BE32-E72D297353CC}">
              <c16:uniqueId val="{00000001-781D-4DCC-87D2-36BCDF173F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'TAL2'!$AB$22:$AF$22</c:f>
              <c:numCache>
                <c:formatCode>0</c:formatCode>
                <c:ptCount val="5"/>
                <c:pt idx="0">
                  <c:v>1849.75</c:v>
                </c:pt>
                <c:pt idx="1">
                  <c:v>16</c:v>
                </c:pt>
                <c:pt idx="2">
                  <c:v>145.5</c:v>
                </c:pt>
                <c:pt idx="3">
                  <c:v>236</c:v>
                </c:pt>
                <c:pt idx="4">
                  <c:v>203.35000000000002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0C-40D7-9E07-7426EC94B218}"/>
            </c:ext>
          </c:extLst>
        </c:ser>
        <c:ser>
          <c:idx val="0"/>
          <c:order val="0"/>
          <c:invertIfNegative val="0"/>
          <c:val>
            <c:numRef>
              <c:f>'TAL2'!$AB$21:$AF$21</c:f>
              <c:numCache>
                <c:formatCode>0</c:formatCode>
                <c:ptCount val="5"/>
                <c:pt idx="0">
                  <c:v>1180</c:v>
                </c:pt>
                <c:pt idx="1">
                  <c:v>1180</c:v>
                </c:pt>
                <c:pt idx="2">
                  <c:v>1180</c:v>
                </c:pt>
                <c:pt idx="3">
                  <c:v>1180</c:v>
                </c:pt>
                <c:pt idx="4">
                  <c:v>1180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0C-40D7-9E07-7426EC94B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7D-4730-A759-B105D2BCB8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D7D-4730-A759-B105D2BCB8B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D7D-4730-A759-B105D2BCB8BC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CHA!$A$20:$A$22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CHA!$B$20:$B$22</c:f>
              <c:numCache>
                <c:formatCode>0</c:formatCode>
                <c:ptCount val="3"/>
                <c:pt idx="0">
                  <c:v>31.00340564397175</c:v>
                </c:pt>
                <c:pt idx="1">
                  <c:v>51.2894977530052</c:v>
                </c:pt>
                <c:pt idx="2">
                  <c:v>17.707096603023054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D7D-4730-A759-B105D2BCB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420033561378598"/>
          <c:y val="0.35064632545931756"/>
          <c:w val="0.57136371068370551"/>
          <c:h val="0.4405898950131233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CHA!$AD$6:$AN$6</c:f>
              <c:numCache>
                <c:formatCode>0</c:formatCode>
                <c:ptCount val="9"/>
                <c:pt idx="0">
                  <c:v>175</c:v>
                </c:pt>
                <c:pt idx="1">
                  <c:v>175</c:v>
                </c:pt>
                <c:pt idx="2">
                  <c:v>175</c:v>
                </c:pt>
                <c:pt idx="3">
                  <c:v>175</c:v>
                </c:pt>
                <c:pt idx="4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BE-422E-8726-4EEA5D162A68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CHA!$AD$7:$AN$7</c:f>
              <c:numCache>
                <c:formatCode>0</c:formatCode>
                <c:ptCount val="9"/>
                <c:pt idx="0" formatCode="General">
                  <c:v>51.96</c:v>
                </c:pt>
                <c:pt idx="1">
                  <c:v>214.9</c:v>
                </c:pt>
                <c:pt idx="2">
                  <c:v>239</c:v>
                </c:pt>
                <c:pt idx="3">
                  <c:v>97.82</c:v>
                </c:pt>
                <c:pt idx="4">
                  <c:v>186.22</c:v>
                </c:pt>
                <c:pt idx="5">
                  <c:v>175.12</c:v>
                </c:pt>
                <c:pt idx="6">
                  <c:v>386.56</c:v>
                </c:pt>
                <c:pt idx="7">
                  <c:v>175</c:v>
                </c:pt>
                <c:pt idx="8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BE-422E-8726-4EEA5D162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layout>
        <c:manualLayout>
          <c:xMode val="edge"/>
          <c:yMode val="edge"/>
          <c:x val="0.20421593642258132"/>
          <c:y val="3.35429769392033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strRef>
              <c:f>CHA!$M$6:$Q$6</c:f>
            </c:strRef>
          </c:cat>
          <c:val>
            <c:numRef>
              <c:f>CHA!$M$8:$Q$8</c:f>
            </c:numRef>
          </c:val>
          <c:extLst>
            <c:ext xmlns:c16="http://schemas.microsoft.com/office/drawing/2014/chart" uri="{C3380CC4-5D6E-409C-BE32-E72D297353CC}">
              <c16:uniqueId val="{00000000-679E-4CF2-98C4-A790C8279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CHA!$M$6:$Q$6</c:f>
            </c:strRef>
          </c:cat>
          <c:val>
            <c:numRef>
              <c:f>CHA!$M$7:$Q$7</c:f>
            </c:numRef>
          </c:val>
          <c:smooth val="0"/>
          <c:extLst>
            <c:ext xmlns:c16="http://schemas.microsoft.com/office/drawing/2014/chart" uri="{C3380CC4-5D6E-409C-BE32-E72D297353CC}">
              <c16:uniqueId val="{00000001-679E-4CF2-98C4-A790C8279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CHA!$M$22:$W$22</c:f>
            </c:numRef>
          </c:val>
          <c:extLst>
            <c:ext xmlns:c16="http://schemas.microsoft.com/office/drawing/2014/chart" uri="{C3380CC4-5D6E-409C-BE32-E72D297353CC}">
              <c16:uniqueId val="{00000000-DD9F-4D6B-9442-42BB87330492}"/>
            </c:ext>
          </c:extLst>
        </c:ser>
        <c:ser>
          <c:idx val="0"/>
          <c:order val="0"/>
          <c:invertIfNegative val="0"/>
          <c:val>
            <c:numRef>
              <c:f>CHA!$M$21:$W$21</c:f>
            </c:numRef>
          </c:val>
          <c:extLst>
            <c:ext xmlns:c16="http://schemas.microsoft.com/office/drawing/2014/chart" uri="{C3380CC4-5D6E-409C-BE32-E72D297353CC}">
              <c16:uniqueId val="{00000001-DD9F-4D6B-9442-42BB87330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CHA!$AD$22:$AL$22</c:f>
              <c:numCache>
                <c:formatCode>0</c:formatCode>
                <c:ptCount val="9"/>
                <c:pt idx="0">
                  <c:v>3685.24</c:v>
                </c:pt>
                <c:pt idx="1">
                  <c:v>1293.6099999999999</c:v>
                </c:pt>
                <c:pt idx="3">
                  <c:v>958.99</c:v>
                </c:pt>
                <c:pt idx="4">
                  <c:v>3999.12</c:v>
                </c:pt>
                <c:pt idx="8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1C-408D-9A48-A6026BCF80EB}"/>
            </c:ext>
          </c:extLst>
        </c:ser>
        <c:ser>
          <c:idx val="0"/>
          <c:order val="0"/>
          <c:invertIfNegative val="0"/>
          <c:val>
            <c:numRef>
              <c:f>CHA!$AD$21:$AL$21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1C-408D-9A48-A6026BCF8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4A6-4EF3-B0E9-9B925990E0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4A6-4EF3-B0E9-9B925990E0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4A6-4EF3-B0E9-9B925990E0EB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AMB!$A$20:$A$22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AMB!$B$20:$B$22</c:f>
              <c:numCache>
                <c:formatCode>0</c:formatCode>
                <c:ptCount val="3"/>
                <c:pt idx="0">
                  <c:v>32.150853223422644</c:v>
                </c:pt>
                <c:pt idx="1">
                  <c:v>42.378949385372565</c:v>
                </c:pt>
                <c:pt idx="2">
                  <c:v>25.470197391204785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4A6-4EF3-B0E9-9B925990E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420033561378598"/>
          <c:y val="0.35064632545931756"/>
          <c:w val="0.57136371068370551"/>
          <c:h val="0.4405898950131233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AMB!$AB$6:$AF$6</c:f>
              <c:numCache>
                <c:formatCode>0</c:formatCode>
                <c:ptCount val="5"/>
                <c:pt idx="0">
                  <c:v>38.4</c:v>
                </c:pt>
                <c:pt idx="1">
                  <c:v>38.4</c:v>
                </c:pt>
                <c:pt idx="2">
                  <c:v>38.4</c:v>
                </c:pt>
                <c:pt idx="3">
                  <c:v>38.4</c:v>
                </c:pt>
                <c:pt idx="4">
                  <c:v>38.4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E1-49EB-9CBD-6D086C6232B0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AMB!$AB$7:$AF$7</c:f>
              <c:numCache>
                <c:formatCode>0</c:formatCode>
                <c:ptCount val="5"/>
                <c:pt idx="0" formatCode="General">
                  <c:v>160.41</c:v>
                </c:pt>
                <c:pt idx="1">
                  <c:v>213.37</c:v>
                </c:pt>
                <c:pt idx="2">
                  <c:v>22.51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E1-49EB-9CBD-6D086C623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layout>
        <c:manualLayout>
          <c:xMode val="edge"/>
          <c:yMode val="edge"/>
          <c:x val="0.20421593642258132"/>
          <c:y val="3.35429769392033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strRef>
              <c:f>AMB!$L$6:$M$6</c:f>
            </c:strRef>
          </c:cat>
          <c:val>
            <c:numRef>
              <c:f>AMB!$L$8:$M$8</c:f>
            </c:numRef>
          </c:val>
          <c:extLst>
            <c:ext xmlns:c16="http://schemas.microsoft.com/office/drawing/2014/chart" uri="{C3380CC4-5D6E-409C-BE32-E72D297353CC}">
              <c16:uniqueId val="{00000001-CEA1-4FBD-BC64-BE5A542F2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AMB!$L$6:$M$6</c:f>
            </c:strRef>
          </c:cat>
          <c:val>
            <c:numRef>
              <c:f>AMB!$L$7:$M$7</c:f>
            </c:numRef>
          </c:val>
          <c:smooth val="0"/>
          <c:extLst>
            <c:ext xmlns:c16="http://schemas.microsoft.com/office/drawing/2014/chart" uri="{C3380CC4-5D6E-409C-BE32-E72D297353CC}">
              <c16:uniqueId val="{00000000-CEA1-4FBD-BC64-BE5A542F2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AMB!$K$22:$M$22</c:f>
            </c:numRef>
          </c:val>
          <c:extLst>
            <c:ext xmlns:c16="http://schemas.microsoft.com/office/drawing/2014/chart" uri="{C3380CC4-5D6E-409C-BE32-E72D297353CC}">
              <c16:uniqueId val="{00000000-A9B1-4017-9A83-691CAAD0088D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AMB!$K$21:$M$21</c:f>
            </c:numRef>
          </c:val>
          <c:extLst>
            <c:ext xmlns:c16="http://schemas.microsoft.com/office/drawing/2014/chart" uri="{C3380CC4-5D6E-409C-BE32-E72D297353CC}">
              <c16:uniqueId val="{00000001-A9B1-4017-9A83-691CAAD00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AMB!$AB$22:$AF$22</c:f>
              <c:numCache>
                <c:formatCode>0</c:formatCode>
                <c:ptCount val="5"/>
                <c:pt idx="0">
                  <c:v>5046.8900000000003</c:v>
                </c:pt>
                <c:pt idx="4">
                  <c:v>1552.5700000000002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68-49C3-A512-BCE8FCE08C00}"/>
            </c:ext>
          </c:extLst>
        </c:ser>
        <c:ser>
          <c:idx val="0"/>
          <c:order val="0"/>
          <c:invertIfNegative val="0"/>
          <c:val>
            <c:numRef>
              <c:f>AMB!$AB$21:$AF$21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68-49C3-A512-BCE8FCE08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DDF-492C-8F88-94C3256A78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DDF-492C-8F88-94C3256A78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DDF-492C-8F88-94C3256A78B7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SIE!$A$20:$A$22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SIE!$B$20:$B$22</c:f>
              <c:numCache>
                <c:formatCode>0</c:formatCode>
                <c:ptCount val="3"/>
                <c:pt idx="0">
                  <c:v>17.853317487823304</c:v>
                </c:pt>
                <c:pt idx="1">
                  <c:v>49.180124804351607</c:v>
                </c:pt>
                <c:pt idx="2">
                  <c:v>32.966557707825096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DF-492C-8F88-94C3256A7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SIE!$AB$6:$AD$6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F0-4089-AE12-2F7EB6806AE5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SIE!$AB$7:$AD$7</c:f>
              <c:numCache>
                <c:formatCode>General</c:formatCode>
                <c:ptCount val="1"/>
                <c:pt idx="0">
                  <c:v>143.69999999999999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F0-4089-AE12-2F7EB6806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SIE!$K$7:$M$7</c:f>
            </c:numRef>
          </c:val>
          <c:extLst>
            <c:ext xmlns:c16="http://schemas.microsoft.com/office/drawing/2014/chart" uri="{C3380CC4-5D6E-409C-BE32-E72D297353CC}">
              <c16:uniqueId val="{00000000-D59A-4A59-A686-814B4ACBCDF2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SIE!$K$8:$M$8</c:f>
            </c:numRef>
          </c:val>
          <c:extLst>
            <c:ext xmlns:c16="http://schemas.microsoft.com/office/drawing/2014/chart" uri="{C3380CC4-5D6E-409C-BE32-E72D297353CC}">
              <c16:uniqueId val="{00000001-D59A-4A59-A686-814B4ACBC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SIE!$K$6:$M$6</c:f>
            </c:numRef>
          </c:val>
          <c:smooth val="0"/>
          <c:extLst>
            <c:ext xmlns:c16="http://schemas.microsoft.com/office/drawing/2014/chart" uri="{C3380CC4-5D6E-409C-BE32-E72D297353CC}">
              <c16:uniqueId val="{00000002-D59A-4A59-A686-814B4ACBC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SIE!$K$22:$M$22</c:f>
            </c:numRef>
          </c:val>
          <c:extLst>
            <c:ext xmlns:c16="http://schemas.microsoft.com/office/drawing/2014/chart" uri="{C3380CC4-5D6E-409C-BE32-E72D297353CC}">
              <c16:uniqueId val="{00000000-85E0-4D86-8FBD-5685B077015F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SIE!$K$21:$M$21</c:f>
            </c:numRef>
          </c:val>
          <c:extLst>
            <c:ext xmlns:c16="http://schemas.microsoft.com/office/drawing/2014/chart" uri="{C3380CC4-5D6E-409C-BE32-E72D297353CC}">
              <c16:uniqueId val="{00000001-85E0-4D86-8FBD-5685B0770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SIE!$AB$22:$AD$22</c:f>
              <c:numCache>
                <c:formatCode>0</c:formatCode>
                <c:ptCount val="1"/>
                <c:pt idx="0">
                  <c:v>2976.82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BE-4CFA-AE78-1B2AEB16CF13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SIE!$AB$21:$AD$21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BE-4CFA-AE78-1B2AEB16C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FB-4387-9C37-BC4D5A781E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FB-4387-9C37-BC4D5A781E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FB-4387-9C37-BC4D5A781EEF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BOCH!$A$21:$A$23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BOCH!$B$21:$B$23</c:f>
              <c:numCache>
                <c:formatCode>0</c:formatCode>
                <c:ptCount val="3"/>
                <c:pt idx="0">
                  <c:v>82.059422234462602</c:v>
                </c:pt>
                <c:pt idx="1">
                  <c:v>11.312337366842952</c:v>
                </c:pt>
                <c:pt idx="2">
                  <c:v>6.6282403986944445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FB-4387-9C37-BC4D5A781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BOCH!$AB$6:$AG$6</c:f>
            </c:numRef>
          </c:val>
          <c:extLst>
            <c:ext xmlns:c16="http://schemas.microsoft.com/office/drawing/2014/chart" uri="{C3380CC4-5D6E-409C-BE32-E72D297353CC}">
              <c16:uniqueId val="{00000000-BAD9-4B41-B7BA-EACEFAE1BCEC}"/>
            </c:ext>
          </c:extLst>
        </c:ser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BOCH!$AB$7:$AG$7</c:f>
            </c:numRef>
          </c:val>
          <c:extLst>
            <c:ext xmlns:c16="http://schemas.microsoft.com/office/drawing/2014/chart" uri="{C3380CC4-5D6E-409C-BE32-E72D297353CC}">
              <c16:uniqueId val="{00000001-BAD9-4B41-B7BA-EACEFAE1B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BOCH!$K$7:$M$7</c:f>
            </c:numRef>
          </c:val>
          <c:extLst>
            <c:ext xmlns:c16="http://schemas.microsoft.com/office/drawing/2014/chart" uri="{C3380CC4-5D6E-409C-BE32-E72D297353CC}">
              <c16:uniqueId val="{00000001-0101-4F35-AFE4-BBB0A64BD266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BOCH!$K$8:$M$8</c:f>
            </c:numRef>
          </c:val>
          <c:extLst>
            <c:ext xmlns:c16="http://schemas.microsoft.com/office/drawing/2014/chart" uri="{C3380CC4-5D6E-409C-BE32-E72D297353CC}">
              <c16:uniqueId val="{00000000-D4B8-4F02-BF4F-AFB7DFF18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BOCH!$K$6:$M$6</c:f>
            </c:numRef>
          </c:val>
          <c:smooth val="0"/>
          <c:extLst>
            <c:ext xmlns:c16="http://schemas.microsoft.com/office/drawing/2014/chart" uri="{C3380CC4-5D6E-409C-BE32-E72D297353CC}">
              <c16:uniqueId val="{00000000-0101-4F35-AFE4-BBB0A64BD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BOCH!$K$23:$M$23</c:f>
            </c:numRef>
          </c:val>
          <c:extLst>
            <c:ext xmlns:c16="http://schemas.microsoft.com/office/drawing/2014/chart" uri="{C3380CC4-5D6E-409C-BE32-E72D297353CC}">
              <c16:uniqueId val="{00000000-51A2-45E4-9E71-BA37BB8D34B1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BOCH!$K$22:$M$22</c:f>
            </c:numRef>
          </c:val>
          <c:extLst>
            <c:ext xmlns:c16="http://schemas.microsoft.com/office/drawing/2014/chart" uri="{C3380CC4-5D6E-409C-BE32-E72D297353CC}">
              <c16:uniqueId val="{00000001-51A2-45E4-9E71-BA37BB8D3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BOCH!$AB$23:$AG$23</c:f>
            </c:numRef>
          </c:val>
          <c:extLst>
            <c:ext xmlns:c16="http://schemas.microsoft.com/office/drawing/2014/chart" uri="{C3380CC4-5D6E-409C-BE32-E72D297353CC}">
              <c16:uniqueId val="{00000000-8FF9-436A-9B68-9055AA896A85}"/>
            </c:ext>
          </c:extLst>
        </c:ser>
        <c:ser>
          <c:idx val="0"/>
          <c:order val="0"/>
          <c:invertIfNegative val="0"/>
          <c:val>
            <c:numRef>
              <c:f>BOCH!$AB$22:$AG$22</c:f>
            </c:numRef>
          </c:val>
          <c:extLst>
            <c:ext xmlns:c16="http://schemas.microsoft.com/office/drawing/2014/chart" uri="{C3380CC4-5D6E-409C-BE32-E72D297353CC}">
              <c16:uniqueId val="{00000001-8FF9-436A-9B68-9055AA896A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68C-42AA-88A1-2C52AA690F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68C-42AA-88A1-2C52AA690F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68C-42AA-88A1-2C52AA690FA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AUH!$A$20:$A$22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AUH!$B$20:$B$22</c:f>
              <c:numCache>
                <c:formatCode>0</c:formatCode>
                <c:ptCount val="3"/>
                <c:pt idx="0">
                  <c:v>37.666115090011168</c:v>
                </c:pt>
                <c:pt idx="1">
                  <c:v>47.305195623690025</c:v>
                </c:pt>
                <c:pt idx="2">
                  <c:v>15.028689286298839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8C-42AA-88A1-2C52AA690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AUH!$AB$6:$AD$6</c:f>
              <c:numCache>
                <c:formatCode>0</c:formatCode>
                <c:ptCount val="3"/>
                <c:pt idx="0">
                  <c:v>336.66666666666669</c:v>
                </c:pt>
                <c:pt idx="1">
                  <c:v>336.66666666666669</c:v>
                </c:pt>
                <c:pt idx="2">
                  <c:v>336.66666666666669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B3-44F0-901E-FC9CFA997DCA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AUH!$AB$7:$AD$7</c:f>
              <c:numCache>
                <c:formatCode>0</c:formatCode>
                <c:ptCount val="3"/>
                <c:pt idx="0" formatCode="General">
                  <c:v>453.5</c:v>
                </c:pt>
                <c:pt idx="1">
                  <c:v>317</c:v>
                </c:pt>
                <c:pt idx="2">
                  <c:v>169.5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B3-44F0-901E-FC9CFA997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AUH!$K$7:$M$7</c:f>
            </c:numRef>
          </c:val>
          <c:extLst>
            <c:ext xmlns:c16="http://schemas.microsoft.com/office/drawing/2014/chart" uri="{C3380CC4-5D6E-409C-BE32-E72D297353CC}">
              <c16:uniqueId val="{00000001-705C-42A0-A927-1E419B3222F6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AUH!$K$8:$M$8</c:f>
            </c:numRef>
          </c:val>
          <c:extLst>
            <c:ext xmlns:c16="http://schemas.microsoft.com/office/drawing/2014/chart" uri="{C3380CC4-5D6E-409C-BE32-E72D297353CC}">
              <c16:uniqueId val="{00000000-0078-4464-B6A1-3443DA957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AUH!$K$6:$M$6</c:f>
            </c:numRef>
          </c:val>
          <c:smooth val="0"/>
          <c:extLst>
            <c:ext xmlns:c16="http://schemas.microsoft.com/office/drawing/2014/chart" uri="{C3380CC4-5D6E-409C-BE32-E72D297353CC}">
              <c16:uniqueId val="{00000000-705C-42A0-A927-1E419B322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AUH!$K$22:$M$22</c:f>
            </c:numRef>
          </c:val>
          <c:extLst>
            <c:ext xmlns:c16="http://schemas.microsoft.com/office/drawing/2014/chart" uri="{C3380CC4-5D6E-409C-BE32-E72D297353CC}">
              <c16:uniqueId val="{00000000-9369-4317-B30C-721C48C77A22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AUH!$K$21:$M$21</c:f>
            </c:numRef>
          </c:val>
          <c:extLst>
            <c:ext xmlns:c16="http://schemas.microsoft.com/office/drawing/2014/chart" uri="{C3380CC4-5D6E-409C-BE32-E72D297353CC}">
              <c16:uniqueId val="{00000001-9369-4317-B30C-721C48C77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AUH!$AB$22:$AD$22</c:f>
              <c:numCache>
                <c:formatCode>0</c:formatCode>
                <c:ptCount val="3"/>
                <c:pt idx="0">
                  <c:v>4769.7699999999995</c:v>
                </c:pt>
                <c:pt idx="1">
                  <c:v>2282.6799999999998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1-4E0C-A831-88FE5C81B9A9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AUH!$AB$21:$AD$21</c:f>
              <c:numCache>
                <c:formatCode>0</c:formatCode>
                <c:ptCount val="3"/>
                <c:pt idx="0">
                  <c:v>2171.5</c:v>
                </c:pt>
                <c:pt idx="1">
                  <c:v>2171.5</c:v>
                </c:pt>
                <c:pt idx="2">
                  <c:v>2171.5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B1-4E0C-A831-88FE5C81B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3EF-44D7-8692-32107BC96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3EF-44D7-8692-32107BC96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3EF-44D7-8692-32107BC968A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FAL!$A$20:$A$22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FAL!$B$20:$B$22</c:f>
              <c:numCache>
                <c:formatCode>0</c:formatCode>
                <c:ptCount val="3"/>
                <c:pt idx="0">
                  <c:v>25.771584910806627</c:v>
                </c:pt>
                <c:pt idx="1">
                  <c:v>53.198088813161718</c:v>
                </c:pt>
                <c:pt idx="2">
                  <c:v>21.030326276031658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3EF-44D7-8692-32107BC96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FAL!$AD$6:$AN$6</c:f>
              <c:numCache>
                <c:formatCode>0</c:formatCode>
                <c:ptCount val="5"/>
                <c:pt idx="0">
                  <c:v>200.25</c:v>
                </c:pt>
                <c:pt idx="1">
                  <c:v>200.25</c:v>
                </c:pt>
                <c:pt idx="2">
                  <c:v>200.25</c:v>
                </c:pt>
                <c:pt idx="3">
                  <c:v>200.25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67-4D6D-9C0F-738B71EA18EF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FAL!$AD$7:$AN$7</c:f>
              <c:numCache>
                <c:formatCode>0</c:formatCode>
                <c:ptCount val="5"/>
                <c:pt idx="0" formatCode="General">
                  <c:v>209</c:v>
                </c:pt>
                <c:pt idx="1">
                  <c:v>209</c:v>
                </c:pt>
                <c:pt idx="2">
                  <c:v>209</c:v>
                </c:pt>
                <c:pt idx="3">
                  <c:v>216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67-4D6D-9C0F-738B71EA1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FAL!$M$7:$Q$7</c:f>
            </c:numRef>
          </c:val>
          <c:extLst>
            <c:ext xmlns:c16="http://schemas.microsoft.com/office/drawing/2014/chart" uri="{C3380CC4-5D6E-409C-BE32-E72D297353CC}">
              <c16:uniqueId val="{00000001-1090-45CE-8053-3806EB6293A9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FAL!$M$8:$Q$8</c:f>
            </c:numRef>
          </c:val>
          <c:extLst>
            <c:ext xmlns:c16="http://schemas.microsoft.com/office/drawing/2014/chart" uri="{C3380CC4-5D6E-409C-BE32-E72D297353CC}">
              <c16:uniqueId val="{00000000-4838-4985-9228-BEBBA5D7E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FAL!$M$6:$Q$6</c:f>
            </c:numRef>
          </c:val>
          <c:smooth val="0"/>
          <c:extLst>
            <c:ext xmlns:c16="http://schemas.microsoft.com/office/drawing/2014/chart" uri="{C3380CC4-5D6E-409C-BE32-E72D297353CC}">
              <c16:uniqueId val="{00000000-1090-45CE-8053-3806EB629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FAL!$M$22:$Q$22</c:f>
            </c:numRef>
          </c:val>
          <c:extLst>
            <c:ext xmlns:c16="http://schemas.microsoft.com/office/drawing/2014/chart" uri="{C3380CC4-5D6E-409C-BE32-E72D297353CC}">
              <c16:uniqueId val="{00000000-F2CB-4E59-9C5F-ED2B1249C84F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FAL!$M$21:$Q$21</c:f>
            </c:numRef>
          </c:val>
          <c:extLst>
            <c:ext xmlns:c16="http://schemas.microsoft.com/office/drawing/2014/chart" uri="{C3380CC4-5D6E-409C-BE32-E72D297353CC}">
              <c16:uniqueId val="{00000001-F2CB-4E59-9C5F-ED2B1249C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92D050"/>
            </a:solidFill>
          </c:spPr>
          <c:invertIfNegative val="0"/>
          <c:val>
            <c:numRef>
              <c:f>FAL!$AD$22:$AI$22</c:f>
              <c:numCache>
                <c:formatCode>0</c:formatCode>
                <c:ptCount val="5"/>
                <c:pt idx="0">
                  <c:v>4539.49</c:v>
                </c:pt>
                <c:pt idx="1">
                  <c:v>674.92000000000007</c:v>
                </c:pt>
                <c:pt idx="2">
                  <c:v>223.10999999999999</c:v>
                </c:pt>
                <c:pt idx="3">
                  <c:v>1671.52</c:v>
                </c:pt>
                <c:pt idx="4">
                  <c:v>204.29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D4-4777-B0E3-2078F842650B}"/>
            </c:ext>
          </c:extLst>
        </c:ser>
        <c:ser>
          <c:idx val="0"/>
          <c:order val="0"/>
          <c:invertIfNegative val="0"/>
          <c:val>
            <c:numRef>
              <c:f>FAL!$AD$21:$AI$21</c:f>
              <c:numCache>
                <c:formatCode>0</c:formatCode>
                <c:ptCount val="5"/>
                <c:pt idx="0">
                  <c:v>1190</c:v>
                </c:pt>
                <c:pt idx="1">
                  <c:v>1190</c:v>
                </c:pt>
                <c:pt idx="2">
                  <c:v>1190</c:v>
                </c:pt>
                <c:pt idx="3">
                  <c:v>1190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D4-4777-B0E3-2078F8426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276-4DE4-BD0E-73384F3589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276-4DE4-BD0E-73384F3589E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276-4DE4-BD0E-73384F3589E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DOR!$A$20:$A$22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DOR!$B$20:$B$22</c:f>
              <c:numCache>
                <c:formatCode>0</c:formatCode>
                <c:ptCount val="3"/>
                <c:pt idx="0">
                  <c:v>30.956167763635555</c:v>
                </c:pt>
                <c:pt idx="1">
                  <c:v>54.131564528108292</c:v>
                </c:pt>
                <c:pt idx="2">
                  <c:v>14.912267708256143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276-4DE4-BD0E-73384F358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DOR!$AD$6:$AK$6</c:f>
              <c:numCache>
                <c:formatCode>0</c:formatCode>
                <c:ptCount val="2"/>
                <c:pt idx="0">
                  <c:v>483</c:v>
                </c:pt>
                <c:pt idx="1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4-42F9-A9A1-D8E3C4F21917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DOR!$AD$7:$AK$7</c:f>
              <c:numCache>
                <c:formatCode>0</c:formatCode>
                <c:ptCount val="2"/>
                <c:pt idx="0" formatCode="General">
                  <c:v>415</c:v>
                </c:pt>
                <c:pt idx="1">
                  <c:v>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80-4F93-AEFC-CE3A166FB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val>
            <c:numRef>
              <c:f>DOR!$M$7:$T$7</c:f>
            </c:numRef>
          </c:val>
          <c:extLst>
            <c:ext xmlns:c16="http://schemas.microsoft.com/office/drawing/2014/chart" uri="{C3380CC4-5D6E-409C-BE32-E72D297353CC}">
              <c16:uniqueId val="{00000001-4B25-42CA-99CE-5789962C1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DOR!$M$6:$T$6</c:f>
            </c:numRef>
          </c:val>
          <c:smooth val="0"/>
          <c:extLst>
            <c:ext xmlns:c16="http://schemas.microsoft.com/office/drawing/2014/chart" uri="{C3380CC4-5D6E-409C-BE32-E72D297353CC}">
              <c16:uniqueId val="{00000000-4B25-42CA-99CE-5789962C13C7}"/>
            </c:ext>
          </c:extLst>
        </c:ser>
        <c:ser>
          <c:idx val="2"/>
          <c:order val="2"/>
          <c:tx>
            <c:v>additionals</c:v>
          </c:tx>
          <c:spPr>
            <a:ln w="28575" cap="rnd">
              <a:solidFill>
                <a:srgbClr val="FCD7FC"/>
              </a:solidFill>
              <a:round/>
            </a:ln>
            <a:effectLst/>
          </c:spPr>
          <c:marker>
            <c:symbol val="none"/>
          </c:marker>
          <c:val>
            <c:numRef>
              <c:f>DOR!$M$8:$T$8</c:f>
            </c:numRef>
          </c:val>
          <c:smooth val="0"/>
          <c:extLst>
            <c:ext xmlns:c16="http://schemas.microsoft.com/office/drawing/2014/chart" uri="{C3380CC4-5D6E-409C-BE32-E72D297353CC}">
              <c16:uniqueId val="{00000000-2BB0-4510-A50D-5F9B1ADD0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DOR!$M$22:$T$22</c:f>
            </c:numRef>
          </c:val>
          <c:extLst>
            <c:ext xmlns:c16="http://schemas.microsoft.com/office/drawing/2014/chart" uri="{C3380CC4-5D6E-409C-BE32-E72D297353CC}">
              <c16:uniqueId val="{00000000-AD43-4AF9-8EBF-CAB632D32B43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DOR!$M$21:$T$21</c:f>
            </c:numRef>
          </c:val>
          <c:extLst>
            <c:ext xmlns:c16="http://schemas.microsoft.com/office/drawing/2014/chart" uri="{C3380CC4-5D6E-409C-BE32-E72D297353CC}">
              <c16:uniqueId val="{00000001-AD43-4AF9-8EBF-CAB632D32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DOR!$AD$22:$AK$22</c:f>
              <c:numCache>
                <c:formatCode>0</c:formatCode>
                <c:ptCount val="2"/>
                <c:pt idx="0">
                  <c:v>4447.99</c:v>
                </c:pt>
                <c:pt idx="1">
                  <c:v>1377.38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46-49CC-B5FC-5BDC0C0ED1FC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DOR!$AD$21:$AK$21</c:f>
              <c:numCache>
                <c:formatCode>0</c:formatCode>
                <c:ptCount val="2"/>
                <c:pt idx="0">
                  <c:v>4800</c:v>
                </c:pt>
                <c:pt idx="1">
                  <c:v>4800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46-49CC-B5FC-5BDC0C0ED1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OLD!$M$7:$O$7</c:f>
            </c:numRef>
          </c:val>
          <c:extLst>
            <c:ext xmlns:c16="http://schemas.microsoft.com/office/drawing/2014/chart" uri="{C3380CC4-5D6E-409C-BE32-E72D297353CC}">
              <c16:uniqueId val="{00000001-92D2-48B4-A191-090892B00B13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OLD!$M$8:$O$8</c:f>
            </c:numRef>
          </c:val>
          <c:extLst>
            <c:ext xmlns:c16="http://schemas.microsoft.com/office/drawing/2014/chart" uri="{C3380CC4-5D6E-409C-BE32-E72D297353CC}">
              <c16:uniqueId val="{00000000-A5FF-4C8F-A716-3D7C72717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OLD!$M$6:$O$6</c:f>
            </c:numRef>
          </c:val>
          <c:smooth val="0"/>
          <c:extLst>
            <c:ext xmlns:c16="http://schemas.microsoft.com/office/drawing/2014/chart" uri="{C3380CC4-5D6E-409C-BE32-E72D297353CC}">
              <c16:uniqueId val="{00000000-92D2-48B4-A191-090892B00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OLD!$M$22:$O$22</c:f>
            </c:numRef>
          </c:val>
          <c:extLst>
            <c:ext xmlns:c16="http://schemas.microsoft.com/office/drawing/2014/chart" uri="{C3380CC4-5D6E-409C-BE32-E72D297353CC}">
              <c16:uniqueId val="{00000000-AD50-45FB-B9AB-8EB545C00FC2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OLD!$M$21:$O$21</c:f>
            </c:numRef>
          </c:val>
          <c:extLst>
            <c:ext xmlns:c16="http://schemas.microsoft.com/office/drawing/2014/chart" uri="{C3380CC4-5D6E-409C-BE32-E72D297353CC}">
              <c16:uniqueId val="{00000001-AD50-45FB-B9AB-8EB545C00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5C-4621-B968-93FA10CEC9E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5C-4621-B968-93FA10CEC9E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5C-4621-B968-93FA10CEC9EA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HAL!$A$21:$A$23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HAL!$B$21:$B$23</c:f>
              <c:numCache>
                <c:formatCode>0</c:formatCode>
                <c:ptCount val="3"/>
                <c:pt idx="0">
                  <c:v>28.133305489538458</c:v>
                </c:pt>
                <c:pt idx="1">
                  <c:v>56.222761388742327</c:v>
                </c:pt>
                <c:pt idx="2">
                  <c:v>15.643933121719225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5C-4621-B968-93FA10CEC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HAL!$AB$6:$AE$6</c:f>
              <c:numCache>
                <c:formatCode>0</c:formatCode>
                <c:ptCount val="4"/>
                <c:pt idx="0">
                  <c:v>199.2</c:v>
                </c:pt>
                <c:pt idx="1">
                  <c:v>199.2</c:v>
                </c:pt>
                <c:pt idx="2">
                  <c:v>199.2</c:v>
                </c:pt>
                <c:pt idx="3">
                  <c:v>199.2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4-42BB-9855-E9CF95E327F2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HAL!$AB$7:$AE$7</c:f>
              <c:numCache>
                <c:formatCode>0</c:formatCode>
                <c:ptCount val="4"/>
                <c:pt idx="0" formatCode="General">
                  <c:v>145</c:v>
                </c:pt>
                <c:pt idx="1">
                  <c:v>190</c:v>
                </c:pt>
                <c:pt idx="2">
                  <c:v>133.5</c:v>
                </c:pt>
                <c:pt idx="3">
                  <c:v>201.7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C4-42BB-9855-E9CF95E32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HAL!$K$7:$N$7</c:f>
            </c:numRef>
          </c:val>
          <c:extLst>
            <c:ext xmlns:c16="http://schemas.microsoft.com/office/drawing/2014/chart" uri="{C3380CC4-5D6E-409C-BE32-E72D297353CC}">
              <c16:uniqueId val="{00000001-F1E4-4F8D-BF14-E9A1E6DFC77F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HAL!$K$8:$N$8</c:f>
            </c:numRef>
          </c:val>
          <c:extLst>
            <c:ext xmlns:c16="http://schemas.microsoft.com/office/drawing/2014/chart" uri="{C3380CC4-5D6E-409C-BE32-E72D297353CC}">
              <c16:uniqueId val="{00000000-9077-4151-B064-2A4E26E9A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HAL!$K$6:$N$6</c:f>
            </c:numRef>
          </c:val>
          <c:smooth val="0"/>
          <c:extLst>
            <c:ext xmlns:c16="http://schemas.microsoft.com/office/drawing/2014/chart" uri="{C3380CC4-5D6E-409C-BE32-E72D297353CC}">
              <c16:uniqueId val="{00000000-F1E4-4F8D-BF14-E9A1E6DFC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HAL!$K$23:$N$23</c:f>
            </c:numRef>
          </c:val>
          <c:extLst>
            <c:ext xmlns:c16="http://schemas.microsoft.com/office/drawing/2014/chart" uri="{C3380CC4-5D6E-409C-BE32-E72D297353CC}">
              <c16:uniqueId val="{00000000-3F08-4041-8794-C52B9B57DEC3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HAL!$K$22:$N$22</c:f>
            </c:numRef>
          </c:val>
          <c:extLst>
            <c:ext xmlns:c16="http://schemas.microsoft.com/office/drawing/2014/chart" uri="{C3380CC4-5D6E-409C-BE32-E72D297353CC}">
              <c16:uniqueId val="{00000001-3F08-4041-8794-C52B9B57D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HAL!$AB$23:$AE$23</c:f>
              <c:numCache>
                <c:formatCode>0</c:formatCode>
                <c:ptCount val="4"/>
                <c:pt idx="0">
                  <c:v>4134.6399999999994</c:v>
                </c:pt>
                <c:pt idx="1">
                  <c:v>3635.98</c:v>
                </c:pt>
                <c:pt idx="2">
                  <c:v>526.37</c:v>
                </c:pt>
                <c:pt idx="3">
                  <c:v>60.7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72-4453-8579-F9D27959A9E3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HAL!$AB$22:$AE$22</c:f>
              <c:numCache>
                <c:formatCode>0</c:formatCode>
                <c:ptCount val="4"/>
                <c:pt idx="0">
                  <c:v>1080</c:v>
                </c:pt>
                <c:pt idx="1">
                  <c:v>1080</c:v>
                </c:pt>
                <c:pt idx="2">
                  <c:v>1080</c:v>
                </c:pt>
                <c:pt idx="3">
                  <c:v>1350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72-4453-8579-F9D27959A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3E-4BD4-86C8-E3EE050E544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3E-4BD4-86C8-E3EE050E544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3E-4BD4-86C8-E3EE050E544A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MEM!$A$21:$A$23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MEM!$B$21:$B$23</c:f>
              <c:numCache>
                <c:formatCode>0</c:formatCode>
                <c:ptCount val="3"/>
                <c:pt idx="0">
                  <c:v>26.381667225783605</c:v>
                </c:pt>
                <c:pt idx="1">
                  <c:v>50.41321312288315</c:v>
                </c:pt>
                <c:pt idx="2">
                  <c:v>23.205119651333252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B3E-4BD4-86C8-E3EE050E5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MEM!$AB$6:$AE$6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C-4C93-B664-64B1FC3C2D9C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MEM!$AB$7:$AE$7</c:f>
              <c:numCache>
                <c:formatCode>General</c:formatCode>
                <c:ptCount val="1"/>
                <c:pt idx="0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AC-4C93-B664-64B1FC3C2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MEM!$K$7:$N$7</c:f>
            </c:numRef>
          </c:val>
          <c:extLst>
            <c:ext xmlns:c16="http://schemas.microsoft.com/office/drawing/2014/chart" uri="{C3380CC4-5D6E-409C-BE32-E72D297353CC}">
              <c16:uniqueId val="{00000001-9E7D-4554-BA8C-C2A7D9A4FF0A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MEM!$K$8:$N$8</c:f>
            </c:numRef>
          </c:val>
          <c:extLst>
            <c:ext xmlns:c16="http://schemas.microsoft.com/office/drawing/2014/chart" uri="{C3380CC4-5D6E-409C-BE32-E72D297353CC}">
              <c16:uniqueId val="{00000000-ED33-489D-A462-1E00F0A0B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MEM!$K$6:$N$6</c:f>
            </c:numRef>
          </c:val>
          <c:smooth val="0"/>
          <c:extLst>
            <c:ext xmlns:c16="http://schemas.microsoft.com/office/drawing/2014/chart" uri="{C3380CC4-5D6E-409C-BE32-E72D297353CC}">
              <c16:uniqueId val="{00000000-9E7D-4554-BA8C-C2A7D9A4F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MEM!$K$23:$V$23</c:f>
            </c:numRef>
          </c:val>
          <c:extLst>
            <c:ext xmlns:c16="http://schemas.microsoft.com/office/drawing/2014/chart" uri="{C3380CC4-5D6E-409C-BE32-E72D297353CC}">
              <c16:uniqueId val="{00000000-1690-4FCC-BA65-64BEE6A535BA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MEM!$K$22:$V$22</c:f>
            </c:numRef>
          </c:val>
          <c:extLst>
            <c:ext xmlns:c16="http://schemas.microsoft.com/office/drawing/2014/chart" uri="{C3380CC4-5D6E-409C-BE32-E72D297353CC}">
              <c16:uniqueId val="{00000001-1690-4FCC-BA65-64BEE6A53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MEM!$AB$23:$AE$23</c:f>
              <c:numCache>
                <c:formatCode>0</c:formatCode>
                <c:ptCount val="1"/>
                <c:pt idx="0">
                  <c:v>2130.9599999999996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5B-442D-A108-48D5389AF6C9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MEM!$AB$22:$AE$22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5B-442D-A108-48D5389AF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22C-4375-8257-A721AE653DF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22C-4375-8257-A721AE653DF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22C-4375-8257-A721AE653DF2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ARN!$A$21:$A$23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ARN!$B$21:$B$23</c:f>
              <c:numCache>
                <c:formatCode>0</c:formatCode>
                <c:ptCount val="3"/>
                <c:pt idx="0">
                  <c:v>46.918932228644763</c:v>
                </c:pt>
                <c:pt idx="1">
                  <c:v>32.13729055990477</c:v>
                </c:pt>
                <c:pt idx="2">
                  <c:v>20.943777211450453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2C-4375-8257-A721AE653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val>
            <c:numRef>
              <c:f>ARN!$AB$6:$AM$6</c:f>
              <c:numCache>
                <c:formatCode>0</c:formatCode>
                <c:ptCount val="5"/>
                <c:pt idx="0">
                  <c:v>135.75</c:v>
                </c:pt>
                <c:pt idx="1">
                  <c:v>135.75</c:v>
                </c:pt>
                <c:pt idx="2">
                  <c:v>135.75</c:v>
                </c:pt>
                <c:pt idx="3">
                  <c:v>135.75</c:v>
                </c:pt>
                <c:pt idx="4">
                  <c:v>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F8-457E-B196-86D30A5EB4DC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ARN!$AB$7:$AM$7</c:f>
              <c:numCache>
                <c:formatCode>0</c:formatCode>
                <c:ptCount val="5"/>
                <c:pt idx="0" formatCode="General">
                  <c:v>150</c:v>
                </c:pt>
                <c:pt idx="1">
                  <c:v>168</c:v>
                </c:pt>
                <c:pt idx="2">
                  <c:v>206</c:v>
                </c:pt>
                <c:pt idx="3">
                  <c:v>28</c:v>
                </c:pt>
                <c:pt idx="4" formatCode="General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F8-457E-B196-86D30A5EB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ARN!$K$7:$N$7</c:f>
            </c:numRef>
          </c:val>
          <c:extLst>
            <c:ext xmlns:c16="http://schemas.microsoft.com/office/drawing/2014/chart" uri="{C3380CC4-5D6E-409C-BE32-E72D297353CC}">
              <c16:uniqueId val="{00000001-8AC4-440D-8CC4-1C9CC04AE6F3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solidFill>
                <a:srgbClr val="FCD7FC"/>
              </a:solidFill>
            </a:ln>
            <a:effectLst/>
          </c:spPr>
          <c:invertIfNegative val="0"/>
          <c:val>
            <c:numRef>
              <c:f>ARN!$K$8:$N$8</c:f>
            </c:numRef>
          </c:val>
          <c:extLst>
            <c:ext xmlns:c16="http://schemas.microsoft.com/office/drawing/2014/chart" uri="{C3380CC4-5D6E-409C-BE32-E72D297353CC}">
              <c16:uniqueId val="{00000000-3DE9-46A4-A1DF-B5052B0BA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ARN!$K$6:$N$6</c:f>
            </c:numRef>
          </c:val>
          <c:smooth val="0"/>
          <c:extLst>
            <c:ext xmlns:c16="http://schemas.microsoft.com/office/drawing/2014/chart" uri="{C3380CC4-5D6E-409C-BE32-E72D297353CC}">
              <c16:uniqueId val="{00000000-8AC4-440D-8CC4-1C9CC04AE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ARN!$K$23:$V$23</c:f>
            </c:numRef>
          </c:val>
          <c:extLst>
            <c:ext xmlns:c16="http://schemas.microsoft.com/office/drawing/2014/chart" uri="{C3380CC4-5D6E-409C-BE32-E72D297353CC}">
              <c16:uniqueId val="{00000000-6430-4662-9070-2F5D77A04C78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ARN!$K$22:$V$22</c:f>
            </c:numRef>
          </c:val>
          <c:extLst>
            <c:ext xmlns:c16="http://schemas.microsoft.com/office/drawing/2014/chart" uri="{C3380CC4-5D6E-409C-BE32-E72D297353CC}">
              <c16:uniqueId val="{00000001-6430-4662-9070-2F5D77A04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ARN!$AB$23:$AM$23</c:f>
              <c:numCache>
                <c:formatCode>0</c:formatCode>
                <c:ptCount val="5"/>
                <c:pt idx="0">
                  <c:v>4955.8200000000006</c:v>
                </c:pt>
                <c:pt idx="1">
                  <c:v>1006.74</c:v>
                </c:pt>
                <c:pt idx="2">
                  <c:v>1022.94</c:v>
                </c:pt>
                <c:pt idx="3">
                  <c:v>197.9</c:v>
                </c:pt>
                <c:pt idx="4" formatCode="General">
                  <c:v>7183.4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8-493D-81DB-7CD5276EBB29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ARN!$AB$22:$AM$22</c:f>
              <c:numCache>
                <c:formatCode>0</c:formatCode>
                <c:ptCount val="5"/>
                <c:pt idx="0">
                  <c:v>1500</c:v>
                </c:pt>
                <c:pt idx="1">
                  <c:v>1500</c:v>
                </c:pt>
                <c:pt idx="2">
                  <c:v>1500</c:v>
                </c:pt>
                <c:pt idx="3">
                  <c:v>1500</c:v>
                </c:pt>
                <c:pt idx="4">
                  <c:v>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D8-493D-81DB-7CD5276EB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64-420B-8A5B-A94B838EA8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64-420B-8A5B-A94B838EA8E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D64-420B-8A5B-A94B838EA8E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NEU!$A$21:$A$23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NEU!$B$21:$B$23</c:f>
              <c:numCache>
                <c:formatCode>0</c:formatCode>
                <c:ptCount val="3"/>
                <c:pt idx="0">
                  <c:v>29.028977056768529</c:v>
                </c:pt>
                <c:pt idx="1">
                  <c:v>43.442752793652332</c:v>
                </c:pt>
                <c:pt idx="2">
                  <c:v>27.528270149579136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64-420B-8A5B-A94B838EA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worked hours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invertIfNegative val="0"/>
          <c:cat>
            <c:strLit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NEU!$AD$6:$AO$6</c15:sqref>
                  </c15:fullRef>
                </c:ext>
              </c:extLst>
              <c:f>NEU!$AD$6:$AN$6</c:f>
              <c:numCache>
                <c:formatCode>0</c:formatCode>
                <c:ptCount val="5"/>
                <c:pt idx="0">
                  <c:v>139</c:v>
                </c:pt>
                <c:pt idx="1">
                  <c:v>139</c:v>
                </c:pt>
                <c:pt idx="2">
                  <c:v>139</c:v>
                </c:pt>
                <c:pt idx="3">
                  <c:v>139</c:v>
                </c:pt>
                <c:pt idx="4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5-4380-88AF-3F9308AA2A08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cat>
            <c:strLit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NEU!$AD$7:$AO$7</c15:sqref>
                  </c15:fullRef>
                </c:ext>
              </c:extLst>
              <c:f>NEU!$AD$7:$AN$7</c:f>
              <c:numCache>
                <c:formatCode>0</c:formatCode>
                <c:ptCount val="5"/>
                <c:pt idx="0" formatCode="General">
                  <c:v>57</c:v>
                </c:pt>
                <c:pt idx="1">
                  <c:v>157</c:v>
                </c:pt>
                <c:pt idx="2">
                  <c:v>247</c:v>
                </c:pt>
                <c:pt idx="3">
                  <c:v>45</c:v>
                </c:pt>
                <c:pt idx="4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E5-4380-88AF-3F9308AA2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Execution of the contract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NEU!$M$7:$Q$7</c:f>
            </c:numRef>
          </c:val>
          <c:extLst>
            <c:ext xmlns:c16="http://schemas.microsoft.com/office/drawing/2014/chart" uri="{C3380CC4-5D6E-409C-BE32-E72D297353CC}">
              <c16:uniqueId val="{00000001-3551-4C92-BE35-5706FE910E05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NEU!$M$8:$Q$8</c:f>
            </c:numRef>
          </c:val>
          <c:extLst>
            <c:ext xmlns:c16="http://schemas.microsoft.com/office/drawing/2014/chart" uri="{C3380CC4-5D6E-409C-BE32-E72D297353CC}">
              <c16:uniqueId val="{00000000-32B8-4886-8249-31263B580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418807"/>
        <c:axId val="355401191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NEU!$M$6:$Q$6</c:f>
            </c:numRef>
          </c:val>
          <c:smooth val="0"/>
          <c:extLst>
            <c:ext xmlns:c16="http://schemas.microsoft.com/office/drawing/2014/chart" uri="{C3380CC4-5D6E-409C-BE32-E72D297353CC}">
              <c16:uniqueId val="{00000000-3551-4C92-BE35-5706FE910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418807"/>
        <c:axId val="355401191"/>
      </c:lineChart>
      <c:catAx>
        <c:axId val="903418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401191"/>
        <c:crosses val="autoZero"/>
        <c:auto val="1"/>
        <c:lblAlgn val="ctr"/>
        <c:lblOffset val="100"/>
        <c:noMultiLvlLbl val="0"/>
      </c:catAx>
      <c:valAx>
        <c:axId val="355401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418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materials and equipments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val>
            <c:numRef>
              <c:f>NEU!$M$23:$X$23</c:f>
            </c:numRef>
          </c:val>
          <c:extLst>
            <c:ext xmlns:c16="http://schemas.microsoft.com/office/drawing/2014/chart" uri="{C3380CC4-5D6E-409C-BE32-E72D297353CC}">
              <c16:uniqueId val="{00000000-21A2-4E48-A949-6095A4807A0B}"/>
            </c:ext>
          </c:extLst>
        </c:ser>
        <c:ser>
          <c:idx val="0"/>
          <c:order val="0"/>
          <c:tx>
            <c:v>planned</c:v>
          </c:tx>
          <c:invertIfNegative val="0"/>
          <c:val>
            <c:numRef>
              <c:f>NEU!$M$22:$X$22</c:f>
            </c:numRef>
          </c:val>
          <c:extLst>
            <c:ext xmlns:c16="http://schemas.microsoft.com/office/drawing/2014/chart" uri="{C3380CC4-5D6E-409C-BE32-E72D297353CC}">
              <c16:uniqueId val="{00000001-21A2-4E48-A949-6095A4807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travel and living costs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</c:spPr>
          <c:invertIfNegative val="0"/>
          <c:cat>
            <c:strLit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NEU!$AD$23:$AO$23</c15:sqref>
                  </c15:fullRef>
                </c:ext>
              </c:extLst>
              <c:f>NEU!$AD$23:$AN$23</c:f>
              <c:numCache>
                <c:formatCode>0</c:formatCode>
                <c:ptCount val="5"/>
                <c:pt idx="0">
                  <c:v>3825.8199999999997</c:v>
                </c:pt>
                <c:pt idx="1">
                  <c:v>893.27</c:v>
                </c:pt>
                <c:pt idx="2">
                  <c:v>2298.7199999999998</c:v>
                </c:pt>
                <c:pt idx="3">
                  <c:v>558.41</c:v>
                </c:pt>
                <c:pt idx="4">
                  <c:v>5056.630000000001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E-4F4B-9A14-BEF656E9D410}"/>
            </c:ext>
          </c:extLst>
        </c:ser>
        <c:ser>
          <c:idx val="0"/>
          <c:order val="0"/>
          <c:tx>
            <c:v>planned</c:v>
          </c:tx>
          <c:invertIfNegative val="0"/>
          <c:cat>
            <c:strLit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NEU!$AD$22:$AO$22</c15:sqref>
                  </c15:fullRef>
                </c:ext>
              </c:extLst>
              <c:f>NEU!$AD$22:$AN$22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2E-4F4B-9A14-BEF656E9D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466112"/>
        <c:axId val="103468032"/>
      </c:barChart>
      <c:catAx>
        <c:axId val="103466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3468032"/>
        <c:crosses val="autoZero"/>
        <c:auto val="1"/>
        <c:lblAlgn val="ctr"/>
        <c:lblOffset val="100"/>
        <c:noMultiLvlLbl val="0"/>
      </c:catAx>
      <c:valAx>
        <c:axId val="1034680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03466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A90-4C5E-B4D4-A5CFDC27C9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A90-4C5E-B4D4-A5CFDC27C9D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A90-4C5E-B4D4-A5CFDC27C9DC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TAL!$A$20:$A$22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TAL!$B$20:$B$22</c:f>
              <c:numCache>
                <c:formatCode>0</c:formatCode>
                <c:ptCount val="3"/>
                <c:pt idx="0">
                  <c:v>25.677543316141382</c:v>
                </c:pt>
                <c:pt idx="1">
                  <c:v>57.893650271037842</c:v>
                </c:pt>
                <c:pt idx="2">
                  <c:v>16.428806412820759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90-4C5E-B4D4-A5CFDC27C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materials and</a:t>
            </a:r>
            <a:r>
              <a:rPr lang="lv-LV" baseline="0"/>
              <a:t> equipment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10328701220150276"/>
          <c:y val="0.12468573007321453"/>
          <c:w val="0.76641984304178745"/>
          <c:h val="0.74760712805636143"/>
        </c:manualLayout>
      </c:layout>
      <c:barChart>
        <c:barDir val="col"/>
        <c:grouping val="clustered"/>
        <c:varyColors val="0"/>
        <c:ser>
          <c:idx val="4"/>
          <c:order val="4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TAL!$K$22:$U$22</c:f>
            </c:numRef>
          </c:val>
          <c:extLst>
            <c:ext xmlns:c16="http://schemas.microsoft.com/office/drawing/2014/chart" uri="{C3380CC4-5D6E-409C-BE32-E72D297353CC}">
              <c16:uniqueId val="{00000007-2190-48BE-A816-4314D7F7F60D}"/>
            </c:ext>
          </c:extLst>
        </c:ser>
        <c:ser>
          <c:idx val="3"/>
          <c:order val="3"/>
          <c:tx>
            <c:v>planned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val>
            <c:numRef>
              <c:f>TAL!$K$21:$U$21</c:f>
            </c:numRef>
          </c:val>
          <c:extLst>
            <c:ext xmlns:c16="http://schemas.microsoft.com/office/drawing/2014/chart" uri="{C3380CC4-5D6E-409C-BE32-E72D297353CC}">
              <c16:uniqueId val="{00000006-2190-48BE-A816-4314D7F7F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9307600"/>
        <c:axId val="125930366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TAL!$K$18:$U$18</c15:sqref>
                        </c15:formulaRef>
                      </c:ext>
                    </c:extLst>
                  </c:numRef>
                </c:val>
                <c:extLst>
                  <c:ext xmlns:c16="http://schemas.microsoft.com/office/drawing/2014/chart" uri="{C3380CC4-5D6E-409C-BE32-E72D297353CC}">
                    <c16:uniqueId val="{00000000-2190-48BE-A816-4314D7F7F60D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TAL!$K$19:$U$19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2190-48BE-A816-4314D7F7F60D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TAL!$K$20:$U$20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2190-48BE-A816-4314D7F7F60D}"/>
                  </c:ext>
                </c:extLst>
              </c15:ser>
            </c15:filteredBarSeries>
          </c:ext>
        </c:extLst>
      </c:barChart>
      <c:catAx>
        <c:axId val="125930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9303664"/>
        <c:crosses val="autoZero"/>
        <c:auto val="1"/>
        <c:lblAlgn val="ctr"/>
        <c:lblOffset val="100"/>
        <c:noMultiLvlLbl val="0"/>
      </c:catAx>
      <c:valAx>
        <c:axId val="125930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9307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234-4685-9F9A-45B4A90907C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234-4685-9F9A-45B4A90907C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234-4685-9F9A-45B4A90907CC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MAL!$A$21:$A$23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MAL!$B$21:$B$23</c:f>
              <c:numCache>
                <c:formatCode>0</c:formatCode>
                <c:ptCount val="3"/>
                <c:pt idx="0">
                  <c:v>24.424051360155786</c:v>
                </c:pt>
                <c:pt idx="1">
                  <c:v>55.785607223257841</c:v>
                </c:pt>
                <c:pt idx="2">
                  <c:v>19.790341416586376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234-4685-9F9A-45B4A9090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execution</a:t>
            </a:r>
            <a:r>
              <a:rPr lang="lv-LV" baseline="0"/>
              <a:t> of contract</a:t>
            </a:r>
            <a:endParaRPr lang="en-GB"/>
          </a:p>
        </c:rich>
      </c:tx>
      <c:layout>
        <c:manualLayout>
          <c:xMode val="edge"/>
          <c:yMode val="edge"/>
          <c:x val="0.19202297075924307"/>
          <c:y val="5.79710144927536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MAL!$K$7:$N$7</c:f>
            </c:numRef>
          </c:val>
          <c:extLst>
            <c:ext xmlns:c16="http://schemas.microsoft.com/office/drawing/2014/chart" uri="{C3380CC4-5D6E-409C-BE32-E72D297353CC}">
              <c16:uniqueId val="{00000001-7C3F-49B0-8384-1673D6160CF9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MAL!$K$8:$N$8</c:f>
            </c:numRef>
          </c:val>
          <c:extLst>
            <c:ext xmlns:c16="http://schemas.microsoft.com/office/drawing/2014/chart" uri="{C3380CC4-5D6E-409C-BE32-E72D297353CC}">
              <c16:uniqueId val="{00000002-7C3F-49B0-8384-1673D6160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9742376"/>
        <c:axId val="699750904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MAL!$K$6:$N$6</c:f>
            </c:numRef>
          </c:val>
          <c:smooth val="0"/>
          <c:extLst>
            <c:ext xmlns:c16="http://schemas.microsoft.com/office/drawing/2014/chart" uri="{C3380CC4-5D6E-409C-BE32-E72D297353CC}">
              <c16:uniqueId val="{00000000-7C3F-49B0-8384-1673D6160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742376"/>
        <c:axId val="699750904"/>
      </c:lineChart>
      <c:catAx>
        <c:axId val="6997423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750904"/>
        <c:crosses val="autoZero"/>
        <c:auto val="1"/>
        <c:lblAlgn val="ctr"/>
        <c:lblOffset val="100"/>
        <c:noMultiLvlLbl val="0"/>
      </c:catAx>
      <c:valAx>
        <c:axId val="699750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742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materials</a:t>
            </a:r>
            <a:r>
              <a:rPr lang="lv-LV" baseline="0"/>
              <a:t> and equipment costs</a:t>
            </a:r>
            <a:endParaRPr lang="en-GB"/>
          </a:p>
        </c:rich>
      </c:tx>
      <c:layout>
        <c:manualLayout>
          <c:xMode val="edge"/>
          <c:yMode val="edge"/>
          <c:x val="0.20442344706911636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7.8025371828521428E-2"/>
          <c:y val="0.16708333333333336"/>
          <c:w val="0.87753018372703417"/>
          <c:h val="0.72088764946048411"/>
        </c:manualLayout>
      </c:layout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MAL!$K$23:$N$23</c:f>
            </c:numRef>
          </c:val>
          <c:extLst>
            <c:ext xmlns:c16="http://schemas.microsoft.com/office/drawing/2014/chart" uri="{C3380CC4-5D6E-409C-BE32-E72D297353CC}">
              <c16:uniqueId val="{00000001-ACFF-4F59-A454-3E8AA5F16520}"/>
            </c:ext>
          </c:extLst>
        </c:ser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MAL!$K$22:$N$22</c:f>
            </c:numRef>
          </c:val>
          <c:extLst>
            <c:ext xmlns:c16="http://schemas.microsoft.com/office/drawing/2014/chart" uri="{C3380CC4-5D6E-409C-BE32-E72D297353CC}">
              <c16:uniqueId val="{00000000-ACFF-4F59-A454-3E8AA5F16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73655648"/>
        <c:axId val="1273655976"/>
      </c:barChart>
      <c:catAx>
        <c:axId val="12736556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3655976"/>
        <c:crosses val="autoZero"/>
        <c:auto val="1"/>
        <c:lblAlgn val="ctr"/>
        <c:lblOffset val="100"/>
        <c:noMultiLvlLbl val="0"/>
      </c:catAx>
      <c:valAx>
        <c:axId val="1273655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3655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31622922134733"/>
          <c:y val="0.57949001166520853"/>
          <c:w val="0.12683771714573105"/>
          <c:h val="0.199116437878893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'worked hours'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MAL!$AB$6:$AL$6</c:f>
              <c:numCache>
                <c:formatCode>0</c:formatCode>
                <c:ptCount val="4"/>
                <c:pt idx="0">
                  <c:v>225.20500000000001</c:v>
                </c:pt>
                <c:pt idx="1">
                  <c:v>225.20500000000001</c:v>
                </c:pt>
                <c:pt idx="2">
                  <c:v>225.20500000000001</c:v>
                </c:pt>
                <c:pt idx="3">
                  <c:v>225.20500000000001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FF-4017-9A86-526876038DD0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MAL!$AB$7:$AL$7</c:f>
              <c:numCache>
                <c:formatCode>0</c:formatCode>
                <c:ptCount val="4"/>
                <c:pt idx="0" formatCode="General">
                  <c:v>216.5</c:v>
                </c:pt>
                <c:pt idx="1">
                  <c:v>334.5</c:v>
                </c:pt>
                <c:pt idx="2">
                  <c:v>277.5</c:v>
                </c:pt>
                <c:pt idx="3">
                  <c:v>109.5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FF-4017-9A86-526876038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-30"/>
        <c:axId val="922274152"/>
        <c:axId val="1732117928"/>
      </c:barChart>
      <c:catAx>
        <c:axId val="922274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2117928"/>
        <c:crosses val="autoZero"/>
        <c:auto val="1"/>
        <c:lblAlgn val="ctr"/>
        <c:lblOffset val="100"/>
        <c:noMultiLvlLbl val="0"/>
      </c:catAx>
      <c:valAx>
        <c:axId val="1732117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274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4349074617600817"/>
          <c:y val="0.46029707180457191"/>
          <c:w val="0.15650925382399181"/>
          <c:h val="0.251398407601284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'travel and living costs'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MAL!$AB$22:$AF$22</c:f>
              <c:numCache>
                <c:formatCode>0</c:formatCode>
                <c:ptCount val="4"/>
                <c:pt idx="0">
                  <c:v>2750</c:v>
                </c:pt>
                <c:pt idx="1">
                  <c:v>2750</c:v>
                </c:pt>
                <c:pt idx="2">
                  <c:v>2750</c:v>
                </c:pt>
                <c:pt idx="3">
                  <c:v>2750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9D0-4835-B7EB-90A98957532E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MAL!$AB$23:$AF$23</c:f>
              <c:numCache>
                <c:formatCode>0</c:formatCode>
                <c:ptCount val="4"/>
                <c:pt idx="0">
                  <c:v>4785.7400000000007</c:v>
                </c:pt>
                <c:pt idx="1">
                  <c:v>139.41999999999999</c:v>
                </c:pt>
                <c:pt idx="3">
                  <c:v>2280.65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59D0-4835-B7EB-90A989575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axId val="40677144"/>
        <c:axId val="182458584"/>
      </c:barChart>
      <c:valAx>
        <c:axId val="18245858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677144"/>
        <c:crosses val="max"/>
        <c:crossBetween val="between"/>
      </c:valAx>
      <c:catAx>
        <c:axId val="4067714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458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4F-42D9-BE8B-9FC3315D04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4F-42D9-BE8B-9FC3315D04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04F-42D9-BE8B-9FC3315D0467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BER!$A$20:$A$22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BER!$B$20:$B$22</c:f>
              <c:numCache>
                <c:formatCode>0</c:formatCode>
                <c:ptCount val="3"/>
                <c:pt idx="0">
                  <c:v>52.16835690275137</c:v>
                </c:pt>
                <c:pt idx="1">
                  <c:v>32.47568180106429</c:v>
                </c:pt>
                <c:pt idx="2">
                  <c:v>15.355961296184361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04F-42D9-BE8B-9FC3315D0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48-44EB-BE9A-E1507D3DA5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48-44EB-BE9A-E1507D3DA5E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48-44EB-BE9A-E1507D3DA5E0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OFF!$A$20:$A$22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OFF!$B$20:$B$22</c:f>
              <c:numCache>
                <c:formatCode>0</c:formatCode>
                <c:ptCount val="3"/>
                <c:pt idx="0">
                  <c:v>47.412444818249149</c:v>
                </c:pt>
                <c:pt idx="1">
                  <c:v>39.367543817093463</c:v>
                </c:pt>
                <c:pt idx="2">
                  <c:v>13.220011364657406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148-44EB-BE9A-E1507D3DA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worked hours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OFF!$AF$6:$AO$6</c:f>
              <c:numCache>
                <c:formatCode>0</c:formatCode>
                <c:ptCount val="10"/>
                <c:pt idx="0" formatCode="General">
                  <c:v>336</c:v>
                </c:pt>
                <c:pt idx="1">
                  <c:v>336</c:v>
                </c:pt>
                <c:pt idx="2" formatCode="General">
                  <c:v>336</c:v>
                </c:pt>
                <c:pt idx="3" formatCode="General">
                  <c:v>336</c:v>
                </c:pt>
                <c:pt idx="4" formatCode="General">
                  <c:v>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6D-47E6-86FF-5D2572A3ADE2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OFF!$AF$7:$AO$7</c:f>
              <c:numCache>
                <c:formatCode>General</c:formatCode>
                <c:ptCount val="10"/>
                <c:pt idx="0">
                  <c:v>176</c:v>
                </c:pt>
                <c:pt idx="1">
                  <c:v>67</c:v>
                </c:pt>
                <c:pt idx="2">
                  <c:v>345</c:v>
                </c:pt>
                <c:pt idx="3">
                  <c:v>333</c:v>
                </c:pt>
                <c:pt idx="4">
                  <c:v>356</c:v>
                </c:pt>
                <c:pt idx="5">
                  <c:v>228</c:v>
                </c:pt>
                <c:pt idx="6">
                  <c:v>33</c:v>
                </c:pt>
                <c:pt idx="7">
                  <c:v>73.5</c:v>
                </c:pt>
                <c:pt idx="8">
                  <c:v>50.5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56D-47E6-86FF-5D2572A3A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7937816"/>
        <c:axId val="517935296"/>
      </c:barChart>
      <c:catAx>
        <c:axId val="517937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935296"/>
        <c:crosses val="autoZero"/>
        <c:auto val="1"/>
        <c:lblAlgn val="ctr"/>
        <c:lblOffset val="100"/>
        <c:noMultiLvlLbl val="0"/>
      </c:catAx>
      <c:valAx>
        <c:axId val="51793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937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travel and living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OFF!$AF$21:$AO$21</c:f>
              <c:numCache>
                <c:formatCode>0</c:formatCode>
                <c:ptCount val="10"/>
                <c:pt idx="0">
                  <c:v>2780</c:v>
                </c:pt>
                <c:pt idx="1">
                  <c:v>2780</c:v>
                </c:pt>
                <c:pt idx="2">
                  <c:v>2780</c:v>
                </c:pt>
                <c:pt idx="3">
                  <c:v>2780</c:v>
                </c:pt>
                <c:pt idx="4">
                  <c:v>2780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07-4778-87F7-CFB15805B3FD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OFF!$AF$22:$AO$22</c:f>
              <c:numCache>
                <c:formatCode>0</c:formatCode>
                <c:ptCount val="10"/>
                <c:pt idx="0">
                  <c:v>9984.66</c:v>
                </c:pt>
                <c:pt idx="1">
                  <c:v>125</c:v>
                </c:pt>
                <c:pt idx="3">
                  <c:v>85</c:v>
                </c:pt>
                <c:pt idx="4">
                  <c:v>1251.25</c:v>
                </c:pt>
                <c:pt idx="5">
                  <c:v>535.16999999999996</c:v>
                </c:pt>
                <c:pt idx="6">
                  <c:v>1218.4100000000001</c:v>
                </c:pt>
                <c:pt idx="7">
                  <c:v>1337.78</c:v>
                </c:pt>
                <c:pt idx="9">
                  <c:v>761.95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07-4778-87F7-CFB15805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6061944"/>
        <c:axId val="686056544"/>
      </c:barChart>
      <c:catAx>
        <c:axId val="686061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6056544"/>
        <c:crosses val="autoZero"/>
        <c:auto val="1"/>
        <c:lblAlgn val="ctr"/>
        <c:lblOffset val="100"/>
        <c:noMultiLvlLbl val="0"/>
      </c:catAx>
      <c:valAx>
        <c:axId val="68605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6061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CD-4AED-96A8-DDD428BC07D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CD-4AED-96A8-DDD428BC07D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0CD-4AED-96A8-DDD428BC07D5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ANT!$A$21:$A$23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ANT!$B$21:$B$23</c:f>
              <c:numCache>
                <c:formatCode>0</c:formatCode>
                <c:ptCount val="3"/>
                <c:pt idx="0">
                  <c:v>18.606394662314049</c:v>
                </c:pt>
                <c:pt idx="1">
                  <c:v>60.260728154404944</c:v>
                </c:pt>
                <c:pt idx="2">
                  <c:v>21.132877183281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0CD-4AED-96A8-DDD428BC0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execution</a:t>
            </a:r>
            <a:r>
              <a:rPr lang="lv-LV" baseline="0"/>
              <a:t> of contract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ANT!$M$7:$R$7</c:f>
            </c:numRef>
          </c:val>
          <c:extLst>
            <c:ext xmlns:c16="http://schemas.microsoft.com/office/drawing/2014/chart" uri="{C3380CC4-5D6E-409C-BE32-E72D297353CC}">
              <c16:uniqueId val="{00000001-DE0F-4FD6-A535-54DCB270C562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ANT!$M$8:$R$8</c:f>
            </c:numRef>
          </c:val>
          <c:extLst>
            <c:ext xmlns:c16="http://schemas.microsoft.com/office/drawing/2014/chart" uri="{C3380CC4-5D6E-409C-BE32-E72D297353CC}">
              <c16:uniqueId val="{00000002-DE0F-4FD6-A535-54DCB270C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83154368"/>
        <c:axId val="1283161256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ANT!$M$6:$R$6</c:f>
            </c:numRef>
          </c:val>
          <c:smooth val="0"/>
          <c:extLst>
            <c:ext xmlns:c16="http://schemas.microsoft.com/office/drawing/2014/chart" uri="{C3380CC4-5D6E-409C-BE32-E72D297353CC}">
              <c16:uniqueId val="{00000000-DE0F-4FD6-A535-54DCB270C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154368"/>
        <c:axId val="1283161256"/>
      </c:lineChart>
      <c:catAx>
        <c:axId val="12831543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3161256"/>
        <c:crosses val="autoZero"/>
        <c:auto val="1"/>
        <c:lblAlgn val="ctr"/>
        <c:lblOffset val="100"/>
        <c:noMultiLvlLbl val="0"/>
      </c:catAx>
      <c:valAx>
        <c:axId val="1283161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3154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worked</a:t>
            </a:r>
            <a:r>
              <a:rPr lang="lv-LV" baseline="0"/>
              <a:t> hours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ANT!$AD$6:$AI$6</c:f>
              <c:numCache>
                <c:formatCode>0</c:formatCode>
                <c:ptCount val="3"/>
                <c:pt idx="0">
                  <c:v>237.28333333333333</c:v>
                </c:pt>
                <c:pt idx="1">
                  <c:v>237.28333333333333</c:v>
                </c:pt>
                <c:pt idx="2">
                  <c:v>237.28333333333333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0-4648-AEB6-59D9563EF14F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ANT!$AD$7:$AI$7</c:f>
              <c:numCache>
                <c:formatCode>0</c:formatCode>
                <c:ptCount val="3"/>
                <c:pt idx="0" formatCode="General">
                  <c:v>405</c:v>
                </c:pt>
                <c:pt idx="1">
                  <c:v>428.5</c:v>
                </c:pt>
                <c:pt idx="2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30-4648-AEB6-59D9563EF1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1016488"/>
        <c:axId val="1281017144"/>
      </c:barChart>
      <c:catAx>
        <c:axId val="12810164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017144"/>
        <c:crosses val="autoZero"/>
        <c:auto val="1"/>
        <c:lblAlgn val="ctr"/>
        <c:lblOffset val="100"/>
        <c:noMultiLvlLbl val="0"/>
      </c:catAx>
      <c:valAx>
        <c:axId val="1281017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016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materials</a:t>
            </a:r>
            <a:r>
              <a:rPr lang="lv-LV" baseline="0"/>
              <a:t> and equipments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ANT!$M$22:$R$22</c:f>
            </c:numRef>
          </c:val>
          <c:extLst>
            <c:ext xmlns:c16="http://schemas.microsoft.com/office/drawing/2014/chart" uri="{C3380CC4-5D6E-409C-BE32-E72D297353CC}">
              <c16:uniqueId val="{00000000-9B90-4E26-BD80-37E7903E661C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ANT!$M$23:$R$23</c:f>
            </c:numRef>
          </c:val>
          <c:extLst>
            <c:ext xmlns:c16="http://schemas.microsoft.com/office/drawing/2014/chart" uri="{C3380CC4-5D6E-409C-BE32-E72D297353CC}">
              <c16:uniqueId val="{00000001-9B90-4E26-BD80-37E7903E6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1523144"/>
        <c:axId val="1281524128"/>
      </c:barChart>
      <c:catAx>
        <c:axId val="1281523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524128"/>
        <c:crosses val="autoZero"/>
        <c:auto val="1"/>
        <c:lblAlgn val="ctr"/>
        <c:lblOffset val="100"/>
        <c:noMultiLvlLbl val="0"/>
      </c:catAx>
      <c:valAx>
        <c:axId val="1281524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523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travel</a:t>
            </a:r>
            <a:r>
              <a:rPr lang="lv-LV" baseline="0"/>
              <a:t> and living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ANT!$AD$22:$AI$22</c:f>
              <c:numCache>
                <c:formatCode>0</c:formatCode>
                <c:ptCount val="3"/>
                <c:pt idx="0">
                  <c:v>2533.3333333333335</c:v>
                </c:pt>
                <c:pt idx="1">
                  <c:v>2533.3333333333335</c:v>
                </c:pt>
                <c:pt idx="2">
                  <c:v>2533.3333333333335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90-4379-89F4-34688C49AE3A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ANT!$AD$23:$AI$23</c:f>
              <c:numCache>
                <c:formatCode>0</c:formatCode>
                <c:ptCount val="3"/>
                <c:pt idx="0">
                  <c:v>3746.63</c:v>
                </c:pt>
                <c:pt idx="1">
                  <c:v>787.07999999999993</c:v>
                </c:pt>
                <c:pt idx="2">
                  <c:v>1142.47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90-4379-89F4-34688C49A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8318992"/>
        <c:axId val="998319648"/>
      </c:barChart>
      <c:catAx>
        <c:axId val="998318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8319648"/>
        <c:crosses val="autoZero"/>
        <c:auto val="1"/>
        <c:lblAlgn val="ctr"/>
        <c:lblOffset val="100"/>
        <c:noMultiLvlLbl val="0"/>
      </c:catAx>
      <c:valAx>
        <c:axId val="99831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831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E80-4C37-8CEC-443C62089F7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E80-4C37-8CEC-443C62089F7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E80-4C37-8CEC-443C62089F7E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SW!$A$20:$A$22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SW!$B$20:$B$22</c:f>
              <c:numCache>
                <c:formatCode>0</c:formatCode>
                <c:ptCount val="3"/>
                <c:pt idx="0">
                  <c:v>10.497369015526079</c:v>
                </c:pt>
                <c:pt idx="1">
                  <c:v>59.486362058670139</c:v>
                </c:pt>
                <c:pt idx="2">
                  <c:v>30.016268925803775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80-4C37-8CEC-443C62089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DC7-42DD-B458-5CAA590DD9F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DC7-42DD-B458-5CAA590DD9F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DC7-42DD-B458-5CAA590DD9F2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'SAR2'!$A$20:$A$22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'SAR2'!$B$20:$B$22</c:f>
              <c:numCache>
                <c:formatCode>0</c:formatCode>
                <c:ptCount val="3"/>
                <c:pt idx="0">
                  <c:v>13.43044907470439</c:v>
                </c:pt>
                <c:pt idx="1">
                  <c:v>68.241835876542709</c:v>
                </c:pt>
                <c:pt idx="2">
                  <c:v>18.3277150487529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C7-42DD-B458-5CAA590DD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120-4047-A12F-976F49A5773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120-4047-A12F-976F49A5773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120-4047-A12F-976F49A5773B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SAR!$A$21:$A$23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SAR!$B$21:$B$23</c:f>
              <c:numCache>
                <c:formatCode>0</c:formatCode>
                <c:ptCount val="3"/>
                <c:pt idx="0">
                  <c:v>43.759043733076105</c:v>
                </c:pt>
                <c:pt idx="1">
                  <c:v>42.938219627728145</c:v>
                </c:pt>
                <c:pt idx="2">
                  <c:v>13.302736639195748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120-4047-A12F-976F49A57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execution</a:t>
            </a:r>
            <a:r>
              <a:rPr lang="lv-LV" baseline="0"/>
              <a:t> of contract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SAR!$K$7:$O$7</c:f>
            </c:numRef>
          </c:val>
          <c:extLst>
            <c:ext xmlns:c16="http://schemas.microsoft.com/office/drawing/2014/chart" uri="{C3380CC4-5D6E-409C-BE32-E72D297353CC}">
              <c16:uniqueId val="{00000001-7E44-44D4-8588-EC4F852A90D9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SAR!$K$8:$O$8</c:f>
            </c:numRef>
          </c:val>
          <c:extLst>
            <c:ext xmlns:c16="http://schemas.microsoft.com/office/drawing/2014/chart" uri="{C3380CC4-5D6E-409C-BE32-E72D297353CC}">
              <c16:uniqueId val="{00000002-7E44-44D4-8588-EC4F852A9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81510680"/>
        <c:axId val="1281514288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SAR!$K$6:$O$6</c:f>
            </c:numRef>
          </c:val>
          <c:smooth val="0"/>
          <c:extLst>
            <c:ext xmlns:c16="http://schemas.microsoft.com/office/drawing/2014/chart" uri="{C3380CC4-5D6E-409C-BE32-E72D297353CC}">
              <c16:uniqueId val="{00000000-7E44-44D4-8588-EC4F852A9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510680"/>
        <c:axId val="1281514288"/>
      </c:lineChart>
      <c:catAx>
        <c:axId val="12815106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514288"/>
        <c:crosses val="autoZero"/>
        <c:auto val="1"/>
        <c:lblAlgn val="ctr"/>
        <c:lblOffset val="100"/>
        <c:noMultiLvlLbl val="0"/>
      </c:catAx>
      <c:valAx>
        <c:axId val="128151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510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materials and equipments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SAR!$K$22:$O$22</c:f>
            </c:numRef>
          </c:val>
          <c:extLst>
            <c:ext xmlns:c16="http://schemas.microsoft.com/office/drawing/2014/chart" uri="{C3380CC4-5D6E-409C-BE32-E72D297353CC}">
              <c16:uniqueId val="{00000000-21EA-4B1F-AC5C-51A1F5E2898F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SAR!$K$23:$O$23</c:f>
            </c:numRef>
          </c:val>
          <c:extLst>
            <c:ext xmlns:c16="http://schemas.microsoft.com/office/drawing/2014/chart" uri="{C3380CC4-5D6E-409C-BE32-E72D297353CC}">
              <c16:uniqueId val="{00000001-21EA-4B1F-AC5C-51A1F5E28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14892712"/>
        <c:axId val="1214894680"/>
      </c:barChart>
      <c:catAx>
        <c:axId val="12148927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4894680"/>
        <c:crosses val="autoZero"/>
        <c:auto val="1"/>
        <c:lblAlgn val="ctr"/>
        <c:lblOffset val="100"/>
        <c:noMultiLvlLbl val="0"/>
      </c:catAx>
      <c:valAx>
        <c:axId val="1214894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4892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worked</a:t>
            </a:r>
            <a:r>
              <a:rPr lang="lv-LV" baseline="0"/>
              <a:t> hours</a:t>
            </a:r>
            <a:endParaRPr lang="en-GB"/>
          </a:p>
        </c:rich>
      </c:tx>
      <c:layout>
        <c:manualLayout>
          <c:xMode val="edge"/>
          <c:yMode val="edge"/>
          <c:x val="0.21831233595800525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SAR!$AB$6:$AF$6</c:f>
              <c:numCache>
                <c:formatCode>0</c:formatCode>
                <c:ptCount val="5"/>
                <c:pt idx="0">
                  <c:v>141.6</c:v>
                </c:pt>
                <c:pt idx="1">
                  <c:v>141.6</c:v>
                </c:pt>
                <c:pt idx="2">
                  <c:v>141.6</c:v>
                </c:pt>
                <c:pt idx="3">
                  <c:v>141.6</c:v>
                </c:pt>
                <c:pt idx="4">
                  <c:v>141.6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F-44E3-B4DA-413AD3E524D1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SAR!$AB$7:$AF$7</c:f>
              <c:numCache>
                <c:formatCode>0</c:formatCode>
                <c:ptCount val="5"/>
                <c:pt idx="0" formatCode="General">
                  <c:v>92</c:v>
                </c:pt>
                <c:pt idx="1">
                  <c:v>225</c:v>
                </c:pt>
                <c:pt idx="2">
                  <c:v>279</c:v>
                </c:pt>
                <c:pt idx="3">
                  <c:v>120</c:v>
                </c:pt>
                <c:pt idx="4">
                  <c:v>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3F-44E3-B4DA-413AD3E52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5987584"/>
        <c:axId val="465986272"/>
      </c:barChart>
      <c:catAx>
        <c:axId val="4659875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5986272"/>
        <c:crosses val="autoZero"/>
        <c:auto val="1"/>
        <c:lblAlgn val="ctr"/>
        <c:lblOffset val="100"/>
        <c:noMultiLvlLbl val="0"/>
      </c:catAx>
      <c:valAx>
        <c:axId val="46598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5987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travel</a:t>
            </a:r>
            <a:r>
              <a:rPr lang="lv-LV" baseline="0"/>
              <a:t> and living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SAR!$AB$22:$AF$22</c:f>
              <c:numCache>
                <c:formatCode>0</c:formatCode>
                <c:ptCount val="5"/>
                <c:pt idx="0">
                  <c:v>1110</c:v>
                </c:pt>
                <c:pt idx="1">
                  <c:v>1110</c:v>
                </c:pt>
                <c:pt idx="2">
                  <c:v>1110</c:v>
                </c:pt>
                <c:pt idx="3">
                  <c:v>1110</c:v>
                </c:pt>
                <c:pt idx="4">
                  <c:v>1110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48-4EE8-8353-D4868D277479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SAR!$AB$23:$AF$23</c:f>
              <c:numCache>
                <c:formatCode>0</c:formatCode>
                <c:ptCount val="5"/>
                <c:pt idx="0">
                  <c:v>3590.34</c:v>
                </c:pt>
                <c:pt idx="1">
                  <c:v>476.39499999999998</c:v>
                </c:pt>
                <c:pt idx="3">
                  <c:v>579.39</c:v>
                </c:pt>
                <c:pt idx="4">
                  <c:v>2700.9250000000002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48-4EE8-8353-D4868D277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6553480"/>
        <c:axId val="696554792"/>
      </c:barChart>
      <c:catAx>
        <c:axId val="6965534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54792"/>
        <c:crosses val="autoZero"/>
        <c:auto val="1"/>
        <c:lblAlgn val="ctr"/>
        <c:lblOffset val="100"/>
        <c:noMultiLvlLbl val="0"/>
      </c:catAx>
      <c:valAx>
        <c:axId val="696554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53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32488898347166062"/>
          <c:y val="0.19319358728807551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1C-437C-B680-B022953B89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1C-437C-B680-B022953B89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1C-437C-B680-B022953B89C4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'MUN2'!$A$21:$A$23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'MUN2'!$B$21:$B$23</c:f>
              <c:numCache>
                <c:formatCode>0</c:formatCode>
                <c:ptCount val="3"/>
                <c:pt idx="0">
                  <c:v>44.320012204290919</c:v>
                </c:pt>
                <c:pt idx="1">
                  <c:v>34.388024654414373</c:v>
                </c:pt>
                <c:pt idx="2">
                  <c:v>21.291963141294705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A1C-437C-B680-B022953B8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execution</a:t>
            </a:r>
            <a:r>
              <a:rPr lang="lv-LV" baseline="0"/>
              <a:t> of contracts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'MUN2'!$M$7:$P$7</c:f>
            </c:numRef>
          </c:val>
          <c:extLst>
            <c:ext xmlns:c16="http://schemas.microsoft.com/office/drawing/2014/chart" uri="{C3380CC4-5D6E-409C-BE32-E72D297353CC}">
              <c16:uniqueId val="{00000001-0717-48D9-981F-04A563550FEC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'MUN2'!$M$8:$P$8</c:f>
            </c:numRef>
          </c:val>
          <c:extLst>
            <c:ext xmlns:c16="http://schemas.microsoft.com/office/drawing/2014/chart" uri="{C3380CC4-5D6E-409C-BE32-E72D297353CC}">
              <c16:uniqueId val="{00000002-0717-48D9-981F-04A563550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6558400"/>
        <c:axId val="696560040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'MUN2'!$M$6:$P$6</c:f>
            </c:numRef>
          </c:val>
          <c:smooth val="0"/>
          <c:extLst>
            <c:ext xmlns:c16="http://schemas.microsoft.com/office/drawing/2014/chart" uri="{C3380CC4-5D6E-409C-BE32-E72D297353CC}">
              <c16:uniqueId val="{00000000-0717-48D9-981F-04A563550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6558400"/>
        <c:axId val="696560040"/>
      </c:lineChart>
      <c:catAx>
        <c:axId val="6965584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60040"/>
        <c:crosses val="autoZero"/>
        <c:auto val="1"/>
        <c:lblAlgn val="ctr"/>
        <c:lblOffset val="100"/>
        <c:noMultiLvlLbl val="0"/>
      </c:catAx>
      <c:valAx>
        <c:axId val="696560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5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materials</a:t>
            </a:r>
            <a:r>
              <a:rPr lang="lv-LV" baseline="0"/>
              <a:t> and equipments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'MUN2'!$M$22:$P$22</c:f>
            </c:numRef>
          </c:val>
          <c:extLst>
            <c:ext xmlns:c16="http://schemas.microsoft.com/office/drawing/2014/chart" uri="{C3380CC4-5D6E-409C-BE32-E72D297353CC}">
              <c16:uniqueId val="{00000000-1643-4029-96D5-9D929B502550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'MUN2'!$M$23:$P$23</c:f>
            </c:numRef>
          </c:val>
          <c:extLst>
            <c:ext xmlns:c16="http://schemas.microsoft.com/office/drawing/2014/chart" uri="{C3380CC4-5D6E-409C-BE32-E72D297353CC}">
              <c16:uniqueId val="{00000001-1643-4029-96D5-9D929B502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9322360"/>
        <c:axId val="1259329576"/>
      </c:barChart>
      <c:catAx>
        <c:axId val="1259322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9329576"/>
        <c:crosses val="autoZero"/>
        <c:auto val="1"/>
        <c:lblAlgn val="ctr"/>
        <c:lblOffset val="100"/>
        <c:noMultiLvlLbl val="0"/>
      </c:catAx>
      <c:valAx>
        <c:axId val="1259329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9322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worked</a:t>
            </a:r>
            <a:r>
              <a:rPr lang="lv-LV" baseline="0"/>
              <a:t> hours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'MUN2'!$AD$6:$AL$6</c:f>
              <c:numCache>
                <c:formatCode>0</c:formatCode>
                <c:ptCount val="9"/>
                <c:pt idx="0">
                  <c:v>134</c:v>
                </c:pt>
                <c:pt idx="1">
                  <c:v>134</c:v>
                </c:pt>
                <c:pt idx="2">
                  <c:v>134</c:v>
                </c:pt>
                <c:pt idx="3">
                  <c:v>134</c:v>
                </c:pt>
                <c:pt idx="4">
                  <c:v>134</c:v>
                </c:pt>
                <c:pt idx="5">
                  <c:v>134</c:v>
                </c:pt>
                <c:pt idx="6">
                  <c:v>134</c:v>
                </c:pt>
                <c:pt idx="7">
                  <c:v>134</c:v>
                </c:pt>
                <c:pt idx="8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F7-4C0B-957C-AA60B7957DE2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'MUN2'!$AD$7:$AL$7</c:f>
              <c:numCache>
                <c:formatCode>0</c:formatCode>
                <c:ptCount val="9"/>
                <c:pt idx="0" formatCode="General">
                  <c:v>195</c:v>
                </c:pt>
                <c:pt idx="1">
                  <c:v>317.5</c:v>
                </c:pt>
                <c:pt idx="2">
                  <c:v>214.5</c:v>
                </c:pt>
                <c:pt idx="3">
                  <c:v>88</c:v>
                </c:pt>
                <c:pt idx="6">
                  <c:v>36</c:v>
                </c:pt>
                <c:pt idx="7">
                  <c:v>136</c:v>
                </c:pt>
                <c:pt idx="8">
                  <c:v>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F7-4C0B-957C-AA60B7957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6563648"/>
        <c:axId val="696564632"/>
      </c:barChart>
      <c:catAx>
        <c:axId val="696563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64632"/>
        <c:crosses val="autoZero"/>
        <c:auto val="1"/>
        <c:lblAlgn val="ctr"/>
        <c:lblOffset val="100"/>
        <c:noMultiLvlLbl val="0"/>
      </c:catAx>
      <c:valAx>
        <c:axId val="696564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63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travel and living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'MUN2'!$AD$22:$AL$22</c:f>
              <c:numCache>
                <c:formatCode>0</c:formatCode>
                <c:ptCount val="9"/>
                <c:pt idx="0">
                  <c:v>800</c:v>
                </c:pt>
                <c:pt idx="1">
                  <c:v>800</c:v>
                </c:pt>
                <c:pt idx="2">
                  <c:v>800</c:v>
                </c:pt>
                <c:pt idx="3">
                  <c:v>800</c:v>
                </c:pt>
                <c:pt idx="4">
                  <c:v>800</c:v>
                </c:pt>
                <c:pt idx="5">
                  <c:v>800</c:v>
                </c:pt>
                <c:pt idx="6">
                  <c:v>800</c:v>
                </c:pt>
                <c:pt idx="7">
                  <c:v>800</c:v>
                </c:pt>
                <c:pt idx="8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7A-4548-9954-50081DAD67B1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'MUN2'!$AD$23:$AL$23</c:f>
              <c:numCache>
                <c:formatCode>0</c:formatCode>
                <c:ptCount val="9"/>
                <c:pt idx="0">
                  <c:v>3241.93</c:v>
                </c:pt>
                <c:pt idx="1">
                  <c:v>522.09</c:v>
                </c:pt>
                <c:pt idx="2">
                  <c:v>274.5</c:v>
                </c:pt>
                <c:pt idx="5">
                  <c:v>390.76</c:v>
                </c:pt>
                <c:pt idx="6">
                  <c:v>3263.96</c:v>
                </c:pt>
                <c:pt idx="8">
                  <c:v>2737.2699999999995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7A-4548-9954-50081DAD6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6121848"/>
        <c:axId val="1276127096"/>
      </c:barChart>
      <c:catAx>
        <c:axId val="12761218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6127096"/>
        <c:crosses val="autoZero"/>
        <c:auto val="1"/>
        <c:lblAlgn val="ctr"/>
        <c:lblOffset val="100"/>
        <c:noMultiLvlLbl val="0"/>
      </c:catAx>
      <c:valAx>
        <c:axId val="1276127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612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Direct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27083492941760656"/>
          <c:y val="0.16616656026104848"/>
          <c:w val="0.36463673121940837"/>
          <c:h val="0.4557959140242605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DE-4F22-8A9B-7985C5417C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DE-4F22-8A9B-7985C5417C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DE-4F22-8A9B-7985C5417C2C}"/>
              </c:ext>
            </c:extLst>
          </c:dPt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FUR!$A$21:$A$23</c:f>
              <c:strCache>
                <c:ptCount val="3"/>
                <c:pt idx="0">
                  <c:v>Materials, incl.delivery, and subcontractors</c:v>
                </c:pt>
                <c:pt idx="1">
                  <c:v>Salaries and taxes</c:v>
                </c:pt>
                <c:pt idx="2">
                  <c:v>Other costs </c:v>
                </c:pt>
              </c:strCache>
            </c:strRef>
          </c:cat>
          <c:val>
            <c:numRef>
              <c:f>FUR!$B$21:$B$23</c:f>
              <c:numCache>
                <c:formatCode>0</c:formatCode>
                <c:ptCount val="3"/>
                <c:pt idx="0">
                  <c:v>29.178227664111368</c:v>
                </c:pt>
                <c:pt idx="1">
                  <c:v>52.579289366093462</c:v>
                </c:pt>
                <c:pt idx="2">
                  <c:v>18.242482969795169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DDE-4F22-8A9B-7985C5417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FUR!$M$7:$P$7</c:f>
            </c:numRef>
          </c:val>
          <c:extLst>
            <c:ext xmlns:c16="http://schemas.microsoft.com/office/drawing/2014/chart" uri="{C3380CC4-5D6E-409C-BE32-E72D297353CC}">
              <c16:uniqueId val="{00000001-92AE-4EDB-9779-E18649251553}"/>
            </c:ext>
          </c:extLst>
        </c:ser>
        <c:ser>
          <c:idx val="2"/>
          <c:order val="2"/>
          <c:tx>
            <c:v>additionals</c:v>
          </c:tx>
          <c:spPr>
            <a:solidFill>
              <a:srgbClr val="FCD7FC"/>
            </a:solidFill>
            <a:ln>
              <a:noFill/>
            </a:ln>
            <a:effectLst/>
          </c:spPr>
          <c:invertIfNegative val="0"/>
          <c:val>
            <c:numRef>
              <c:f>FUR!$M$8:$P$8</c:f>
            </c:numRef>
          </c:val>
          <c:extLst>
            <c:ext xmlns:c16="http://schemas.microsoft.com/office/drawing/2014/chart" uri="{C3380CC4-5D6E-409C-BE32-E72D297353CC}">
              <c16:uniqueId val="{00000002-92AE-4EDB-9779-E18649251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81512976"/>
        <c:axId val="1281515600"/>
      </c:barChart>
      <c:lineChart>
        <c:grouping val="standard"/>
        <c:varyColors val="0"/>
        <c:ser>
          <c:idx val="0"/>
          <c:order val="0"/>
          <c:tx>
            <c:v>planned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FUR!$M$6:$P$6</c:f>
            </c:numRef>
          </c:val>
          <c:smooth val="0"/>
          <c:extLst>
            <c:ext xmlns:c16="http://schemas.microsoft.com/office/drawing/2014/chart" uri="{C3380CC4-5D6E-409C-BE32-E72D297353CC}">
              <c16:uniqueId val="{00000000-92AE-4EDB-9779-E18649251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512976"/>
        <c:axId val="1281515600"/>
      </c:lineChart>
      <c:catAx>
        <c:axId val="12815129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515600"/>
        <c:crosses val="autoZero"/>
        <c:auto val="1"/>
        <c:lblAlgn val="ctr"/>
        <c:lblOffset val="100"/>
        <c:noMultiLvlLbl val="0"/>
      </c:catAx>
      <c:valAx>
        <c:axId val="128151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512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materials</a:t>
            </a:r>
            <a:r>
              <a:rPr lang="lv-LV" baseline="0"/>
              <a:t> and equipments costs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FUR!$M$22:$P$22</c:f>
            </c:numRef>
          </c:val>
          <c:extLst>
            <c:ext xmlns:c16="http://schemas.microsoft.com/office/drawing/2014/chart" uri="{C3380CC4-5D6E-409C-BE32-E72D297353CC}">
              <c16:uniqueId val="{00000000-6DEE-46A2-9C7C-F67B7F536B71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FUR!$M$23:$P$23</c:f>
            </c:numRef>
          </c:val>
          <c:extLst>
            <c:ext xmlns:c16="http://schemas.microsoft.com/office/drawing/2014/chart" uri="{C3380CC4-5D6E-409C-BE32-E72D297353CC}">
              <c16:uniqueId val="{00000001-6DEE-46A2-9C7C-F67B7F536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8324568"/>
        <c:axId val="998325552"/>
      </c:barChart>
      <c:catAx>
        <c:axId val="9983245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8325552"/>
        <c:crosses val="autoZero"/>
        <c:auto val="1"/>
        <c:lblAlgn val="ctr"/>
        <c:lblOffset val="100"/>
        <c:noMultiLvlLbl val="0"/>
      </c:catAx>
      <c:valAx>
        <c:axId val="99832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8324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worked</a:t>
            </a:r>
            <a:r>
              <a:rPr lang="lv-LV" baseline="0"/>
              <a:t> hours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FUR!$AD$5:$AL$7</c:f>
              <c:multiLvlStrCache>
                <c:ptCount val="9"/>
                <c:lvl>
                  <c:pt idx="0">
                    <c:v>388.5</c:v>
                  </c:pt>
                  <c:pt idx="1">
                    <c:v>395</c:v>
                  </c:pt>
                  <c:pt idx="2">
                    <c:v>73</c:v>
                  </c:pt>
                  <c:pt idx="3">
                    <c:v>66</c:v>
                  </c:pt>
                  <c:pt idx="4">
                    <c:v>93</c:v>
                  </c:pt>
                  <c:pt idx="5">
                    <c:v>256</c:v>
                  </c:pt>
                  <c:pt idx="6">
                    <c:v>242</c:v>
                  </c:pt>
                  <c:pt idx="7">
                    <c:v>296</c:v>
                  </c:pt>
                  <c:pt idx="8">
                    <c:v>424</c:v>
                  </c:pt>
                </c:lvl>
                <c:lvl>
                  <c:pt idx="0">
                    <c:v>243</c:v>
                  </c:pt>
                  <c:pt idx="1">
                    <c:v>243</c:v>
                  </c:pt>
                  <c:pt idx="2">
                    <c:v>243</c:v>
                  </c:pt>
                  <c:pt idx="4">
                    <c:v>243</c:v>
                  </c:pt>
                  <c:pt idx="5">
                    <c:v>243</c:v>
                  </c:pt>
                  <c:pt idx="6">
                    <c:v>243</c:v>
                  </c:pt>
                  <c:pt idx="7">
                    <c:v>243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</c:lvl>
              </c:multiLvlStrCache>
            </c:multiLvlStrRef>
          </c:cat>
          <c:val>
            <c:numRef>
              <c:f>FUR!$AD$6:$AG$6</c:f>
              <c:numCache>
                <c:formatCode>0</c:formatCode>
                <c:ptCount val="4"/>
                <c:pt idx="0">
                  <c:v>242.57142857142858</c:v>
                </c:pt>
                <c:pt idx="1">
                  <c:v>242.57142857142858</c:v>
                </c:pt>
                <c:pt idx="2">
                  <c:v>242.57142857142858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7C-4BD1-A08A-3544C3277FBA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multiLvlStrRef>
              <c:f>FUR!$AD$5:$AL$7</c:f>
              <c:multiLvlStrCache>
                <c:ptCount val="9"/>
                <c:lvl>
                  <c:pt idx="0">
                    <c:v>388.5</c:v>
                  </c:pt>
                  <c:pt idx="1">
                    <c:v>395</c:v>
                  </c:pt>
                  <c:pt idx="2">
                    <c:v>73</c:v>
                  </c:pt>
                  <c:pt idx="3">
                    <c:v>66</c:v>
                  </c:pt>
                  <c:pt idx="4">
                    <c:v>93</c:v>
                  </c:pt>
                  <c:pt idx="5">
                    <c:v>256</c:v>
                  </c:pt>
                  <c:pt idx="6">
                    <c:v>242</c:v>
                  </c:pt>
                  <c:pt idx="7">
                    <c:v>296</c:v>
                  </c:pt>
                  <c:pt idx="8">
                    <c:v>424</c:v>
                  </c:pt>
                </c:lvl>
                <c:lvl>
                  <c:pt idx="0">
                    <c:v>243</c:v>
                  </c:pt>
                  <c:pt idx="1">
                    <c:v>243</c:v>
                  </c:pt>
                  <c:pt idx="2">
                    <c:v>243</c:v>
                  </c:pt>
                  <c:pt idx="4">
                    <c:v>243</c:v>
                  </c:pt>
                  <c:pt idx="5">
                    <c:v>243</c:v>
                  </c:pt>
                  <c:pt idx="6">
                    <c:v>243</c:v>
                  </c:pt>
                  <c:pt idx="7">
                    <c:v>243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</c:lvl>
              </c:multiLvlStrCache>
            </c:multiLvlStrRef>
          </c:cat>
          <c:val>
            <c:numRef>
              <c:f>FUR!$AD$7:$AL$7</c:f>
              <c:numCache>
                <c:formatCode>0</c:formatCode>
                <c:ptCount val="9"/>
                <c:pt idx="0" formatCode="General">
                  <c:v>388.5</c:v>
                </c:pt>
                <c:pt idx="1">
                  <c:v>394.5</c:v>
                </c:pt>
                <c:pt idx="2">
                  <c:v>73</c:v>
                </c:pt>
                <c:pt idx="3">
                  <c:v>66</c:v>
                </c:pt>
                <c:pt idx="4">
                  <c:v>92.5</c:v>
                </c:pt>
                <c:pt idx="5">
                  <c:v>255.5</c:v>
                </c:pt>
                <c:pt idx="6">
                  <c:v>242</c:v>
                </c:pt>
                <c:pt idx="7">
                  <c:v>296</c:v>
                </c:pt>
                <c:pt idx="8">
                  <c:v>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7C-4BD1-A08A-3544C3277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0723016"/>
        <c:axId val="1570724000"/>
      </c:barChart>
      <c:catAx>
        <c:axId val="1570723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724000"/>
        <c:crosses val="autoZero"/>
        <c:auto val="1"/>
        <c:lblAlgn val="ctr"/>
        <c:lblOffset val="100"/>
        <c:noMultiLvlLbl val="0"/>
      </c:catAx>
      <c:valAx>
        <c:axId val="157072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723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travel and living costs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FUR!$AD$22:$AL$22</c:f>
              <c:numCache>
                <c:formatCode>0</c:formatCode>
                <c:ptCount val="9"/>
                <c:pt idx="0">
                  <c:v>2142.8571428571427</c:v>
                </c:pt>
                <c:pt idx="1">
                  <c:v>2142.8571428571427</c:v>
                </c:pt>
                <c:pt idx="2">
                  <c:v>2142.8571428571427</c:v>
                </c:pt>
                <c:pt idx="4">
                  <c:v>2142.8571428571427</c:v>
                </c:pt>
                <c:pt idx="5">
                  <c:v>2142.8571428571427</c:v>
                </c:pt>
                <c:pt idx="6">
                  <c:v>2142.8571428571427</c:v>
                </c:pt>
                <c:pt idx="7">
                  <c:v>2142.8571428571427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60-4D71-98FF-97BBE29D5BDD}"/>
            </c:ext>
          </c:extLst>
        </c:ser>
        <c:ser>
          <c:idx val="1"/>
          <c:order val="1"/>
          <c:tx>
            <c:v>in fact</c:v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FUR!$AD$23:$AL$23</c:f>
              <c:numCache>
                <c:formatCode>0</c:formatCode>
                <c:ptCount val="9"/>
                <c:pt idx="0">
                  <c:v>5414.2200000000012</c:v>
                </c:pt>
                <c:pt idx="1">
                  <c:v>4943.1499999999996</c:v>
                </c:pt>
                <c:pt idx="3">
                  <c:v>1810.21</c:v>
                </c:pt>
                <c:pt idx="5">
                  <c:v>905.72</c:v>
                </c:pt>
                <c:pt idx="6">
                  <c:v>271.35500000000002</c:v>
                </c:pt>
                <c:pt idx="7">
                  <c:v>1119.6300000000001</c:v>
                </c:pt>
                <c:pt idx="8">
                  <c:v>2777.3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60-4D71-98FF-97BBE29D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15768840"/>
        <c:axId val="1215765560"/>
      </c:barChart>
      <c:catAx>
        <c:axId val="12157688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5765560"/>
        <c:crosses val="autoZero"/>
        <c:auto val="1"/>
        <c:lblAlgn val="ctr"/>
        <c:lblOffset val="100"/>
        <c:noMultiLvlLbl val="0"/>
      </c:catAx>
      <c:valAx>
        <c:axId val="1215765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5768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5" Type="http://schemas.openxmlformats.org/officeDocument/2006/relationships/chart" Target="../charts/chart32.xml"/><Relationship Id="rId4" Type="http://schemas.openxmlformats.org/officeDocument/2006/relationships/chart" Target="../charts/chart31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5" Type="http://schemas.openxmlformats.org/officeDocument/2006/relationships/chart" Target="../charts/chart42.xml"/><Relationship Id="rId4" Type="http://schemas.openxmlformats.org/officeDocument/2006/relationships/chart" Target="../charts/chart4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0.xml"/><Relationship Id="rId2" Type="http://schemas.openxmlformats.org/officeDocument/2006/relationships/chart" Target="../charts/chart49.xml"/><Relationship Id="rId1" Type="http://schemas.openxmlformats.org/officeDocument/2006/relationships/chart" Target="../charts/chart48.xml"/><Relationship Id="rId5" Type="http://schemas.openxmlformats.org/officeDocument/2006/relationships/chart" Target="../charts/chart52.xml"/><Relationship Id="rId4" Type="http://schemas.openxmlformats.org/officeDocument/2006/relationships/chart" Target="../charts/chart5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5" Type="http://schemas.openxmlformats.org/officeDocument/2006/relationships/chart" Target="../charts/chart57.xml"/><Relationship Id="rId4" Type="http://schemas.openxmlformats.org/officeDocument/2006/relationships/chart" Target="../charts/chart56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5" Type="http://schemas.openxmlformats.org/officeDocument/2006/relationships/chart" Target="../charts/chart62.xml"/><Relationship Id="rId4" Type="http://schemas.openxmlformats.org/officeDocument/2006/relationships/chart" Target="../charts/chart61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5.xml"/><Relationship Id="rId2" Type="http://schemas.openxmlformats.org/officeDocument/2006/relationships/chart" Target="../charts/chart64.xml"/><Relationship Id="rId1" Type="http://schemas.openxmlformats.org/officeDocument/2006/relationships/chart" Target="../charts/chart63.xml"/><Relationship Id="rId5" Type="http://schemas.openxmlformats.org/officeDocument/2006/relationships/chart" Target="../charts/chart67.xml"/><Relationship Id="rId4" Type="http://schemas.openxmlformats.org/officeDocument/2006/relationships/chart" Target="../charts/chart66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9.xml"/><Relationship Id="rId1" Type="http://schemas.openxmlformats.org/officeDocument/2006/relationships/chart" Target="../charts/chart68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2.xml"/><Relationship Id="rId2" Type="http://schemas.openxmlformats.org/officeDocument/2006/relationships/chart" Target="../charts/chart71.xml"/><Relationship Id="rId1" Type="http://schemas.openxmlformats.org/officeDocument/2006/relationships/chart" Target="../charts/chart70.xml"/><Relationship Id="rId5" Type="http://schemas.openxmlformats.org/officeDocument/2006/relationships/chart" Target="../charts/chart74.xml"/><Relationship Id="rId4" Type="http://schemas.openxmlformats.org/officeDocument/2006/relationships/chart" Target="../charts/chart73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7.xml"/><Relationship Id="rId2" Type="http://schemas.openxmlformats.org/officeDocument/2006/relationships/chart" Target="../charts/chart76.xml"/><Relationship Id="rId1" Type="http://schemas.openxmlformats.org/officeDocument/2006/relationships/chart" Target="../charts/chart75.xml"/><Relationship Id="rId5" Type="http://schemas.openxmlformats.org/officeDocument/2006/relationships/chart" Target="../charts/chart79.xml"/><Relationship Id="rId4" Type="http://schemas.openxmlformats.org/officeDocument/2006/relationships/chart" Target="../charts/chart78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2.xml"/><Relationship Id="rId2" Type="http://schemas.openxmlformats.org/officeDocument/2006/relationships/chart" Target="../charts/chart81.xml"/><Relationship Id="rId1" Type="http://schemas.openxmlformats.org/officeDocument/2006/relationships/chart" Target="../charts/chart80.xml"/><Relationship Id="rId5" Type="http://schemas.openxmlformats.org/officeDocument/2006/relationships/chart" Target="../charts/chart84.xml"/><Relationship Id="rId4" Type="http://schemas.openxmlformats.org/officeDocument/2006/relationships/chart" Target="../charts/chart83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7.xml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5" Type="http://schemas.openxmlformats.org/officeDocument/2006/relationships/chart" Target="../charts/chart89.xml"/><Relationship Id="rId4" Type="http://schemas.openxmlformats.org/officeDocument/2006/relationships/chart" Target="../charts/chart88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1.xml"/><Relationship Id="rId1" Type="http://schemas.openxmlformats.org/officeDocument/2006/relationships/chart" Target="../charts/chart90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4.xml"/><Relationship Id="rId2" Type="http://schemas.openxmlformats.org/officeDocument/2006/relationships/chart" Target="../charts/chart93.xml"/><Relationship Id="rId1" Type="http://schemas.openxmlformats.org/officeDocument/2006/relationships/chart" Target="../charts/chart92.xml"/><Relationship Id="rId5" Type="http://schemas.openxmlformats.org/officeDocument/2006/relationships/chart" Target="../charts/chart96.xml"/><Relationship Id="rId4" Type="http://schemas.openxmlformats.org/officeDocument/2006/relationships/chart" Target="../charts/chart95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0.xml"/><Relationship Id="rId2" Type="http://schemas.openxmlformats.org/officeDocument/2006/relationships/chart" Target="../charts/chart99.xml"/><Relationship Id="rId1" Type="http://schemas.openxmlformats.org/officeDocument/2006/relationships/chart" Target="../charts/chart98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3.xml"/><Relationship Id="rId2" Type="http://schemas.openxmlformats.org/officeDocument/2006/relationships/chart" Target="../charts/chart102.xml"/><Relationship Id="rId1" Type="http://schemas.openxmlformats.org/officeDocument/2006/relationships/chart" Target="../charts/chart101.xml"/><Relationship Id="rId5" Type="http://schemas.openxmlformats.org/officeDocument/2006/relationships/chart" Target="../charts/chart105.xml"/><Relationship Id="rId4" Type="http://schemas.openxmlformats.org/officeDocument/2006/relationships/chart" Target="../charts/chart10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0.xml"/><Relationship Id="rId2" Type="http://schemas.openxmlformats.org/officeDocument/2006/relationships/chart" Target="../charts/chart109.xml"/><Relationship Id="rId1" Type="http://schemas.openxmlformats.org/officeDocument/2006/relationships/chart" Target="../charts/chart108.xml"/><Relationship Id="rId5" Type="http://schemas.openxmlformats.org/officeDocument/2006/relationships/chart" Target="../charts/chart112.xml"/><Relationship Id="rId4" Type="http://schemas.openxmlformats.org/officeDocument/2006/relationships/chart" Target="../charts/chart111.xml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5.xml"/><Relationship Id="rId2" Type="http://schemas.openxmlformats.org/officeDocument/2006/relationships/chart" Target="../charts/chart114.xml"/><Relationship Id="rId1" Type="http://schemas.openxmlformats.org/officeDocument/2006/relationships/chart" Target="../charts/chart113.xml"/><Relationship Id="rId5" Type="http://schemas.openxmlformats.org/officeDocument/2006/relationships/chart" Target="../charts/chart117.xml"/><Relationship Id="rId4" Type="http://schemas.openxmlformats.org/officeDocument/2006/relationships/chart" Target="../charts/chart116.xml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0.xml"/><Relationship Id="rId2" Type="http://schemas.openxmlformats.org/officeDocument/2006/relationships/chart" Target="../charts/chart119.xml"/><Relationship Id="rId1" Type="http://schemas.openxmlformats.org/officeDocument/2006/relationships/chart" Target="../charts/chart118.xml"/><Relationship Id="rId5" Type="http://schemas.openxmlformats.org/officeDocument/2006/relationships/chart" Target="../charts/chart122.xml"/><Relationship Id="rId4" Type="http://schemas.openxmlformats.org/officeDocument/2006/relationships/chart" Target="../charts/chart1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08FAA7-8727-468B-9B9D-9662D7199E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E739670-88F2-4008-8711-89D2B8AD20B8}"/>
            </a:ext>
            <a:ext uri="{147F2762-F138-4A5C-976F-8EAC2B608ADB}">
              <a16:predDERef xmlns:a16="http://schemas.microsoft.com/office/drawing/2014/main" pred="{C108FAA7-8727-468B-9B9D-9662D7199E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200025</xdr:colOff>
      <xdr:row>8</xdr:row>
      <xdr:rowOff>38100</xdr:rowOff>
    </xdr:from>
    <xdr:to>
      <xdr:col>21</xdr:col>
      <xdr:colOff>571500</xdr:colOff>
      <xdr:row>16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06A9BCB-DCC0-45B8-876B-A27641C6FF8F}"/>
            </a:ext>
            <a:ext uri="{147F2762-F138-4A5C-976F-8EAC2B608ADB}">
              <a16:predDERef xmlns:a16="http://schemas.microsoft.com/office/drawing/2014/main" pred="{5E739670-88F2-4008-8711-89D2B8AD20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9525</xdr:colOff>
      <xdr:row>22</xdr:row>
      <xdr:rowOff>47625</xdr:rowOff>
    </xdr:from>
    <xdr:to>
      <xdr:col>21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DAF0BD3-717E-4FFE-B4C2-22D5D23EB246}"/>
            </a:ext>
            <a:ext uri="{147F2762-F138-4A5C-976F-8EAC2B608ADB}">
              <a16:predDERef xmlns:a16="http://schemas.microsoft.com/office/drawing/2014/main" pred="{306A9BCB-DCC0-45B8-876B-A27641C6FF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0</xdr:colOff>
      <xdr:row>22</xdr:row>
      <xdr:rowOff>57150</xdr:rowOff>
    </xdr:from>
    <xdr:to>
      <xdr:col>38</xdr:col>
      <xdr:colOff>704850</xdr:colOff>
      <xdr:row>31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C1D2E6B0-6B40-4EC7-9E41-20AC81C67113}"/>
            </a:ext>
            <a:ext uri="{147F2762-F138-4A5C-976F-8EAC2B608ADB}">
              <a16:predDERef xmlns:a16="http://schemas.microsoft.com/office/drawing/2014/main" pred="{0DAF0BD3-717E-4FFE-B4C2-22D5D23EB2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BD1581-960D-48A9-B187-22882535CA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A66B44E-4B3D-4355-B5A2-60BEB2F4F69D}"/>
            </a:ext>
            <a:ext uri="{147F2762-F138-4A5C-976F-8EAC2B608ADB}">
              <a16:predDERef xmlns:a16="http://schemas.microsoft.com/office/drawing/2014/main" pred="{55BD1581-960D-48A9-B187-22882535CA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200025</xdr:colOff>
      <xdr:row>8</xdr:row>
      <xdr:rowOff>38100</xdr:rowOff>
    </xdr:from>
    <xdr:to>
      <xdr:col>21</xdr:col>
      <xdr:colOff>571500</xdr:colOff>
      <xdr:row>16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12EA2E8-529A-484D-A428-C9E6097DC8DA}"/>
            </a:ext>
            <a:ext uri="{147F2762-F138-4A5C-976F-8EAC2B608ADB}">
              <a16:predDERef xmlns:a16="http://schemas.microsoft.com/office/drawing/2014/main" pred="{CA66B44E-4B3D-4355-B5A2-60BEB2F4F6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9525</xdr:colOff>
      <xdr:row>22</xdr:row>
      <xdr:rowOff>47625</xdr:rowOff>
    </xdr:from>
    <xdr:to>
      <xdr:col>21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C0CCFB41-CFC2-47FA-BE43-55BE0FBAC5CD}"/>
            </a:ext>
            <a:ext uri="{147F2762-F138-4A5C-976F-8EAC2B608ADB}">
              <a16:predDERef xmlns:a16="http://schemas.microsoft.com/office/drawing/2014/main" pred="{B12EA2E8-529A-484D-A428-C9E6097DC8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19050</xdr:colOff>
      <xdr:row>22</xdr:row>
      <xdr:rowOff>47625</xdr:rowOff>
    </xdr:from>
    <xdr:to>
      <xdr:col>38</xdr:col>
      <xdr:colOff>723900</xdr:colOff>
      <xdr:row>31</xdr:row>
      <xdr:rowOff>152400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FC38EBBB-B031-40FE-92B0-3BA28192AFA5}"/>
            </a:ext>
            <a:ext uri="{147F2762-F138-4A5C-976F-8EAC2B608ADB}">
              <a16:predDERef xmlns:a16="http://schemas.microsoft.com/office/drawing/2014/main" pred="{C0CCFB41-CFC2-47FA-BE43-55BE0FBAC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19</xdr:row>
      <xdr:rowOff>57150</xdr:rowOff>
    </xdr:from>
    <xdr:to>
      <xdr:col>7</xdr:col>
      <xdr:colOff>542925</xdr:colOff>
      <xdr:row>31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C651B9-01FF-429E-B43E-7F228DC0D8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19050</xdr:colOff>
      <xdr:row>8</xdr:row>
      <xdr:rowOff>28575</xdr:rowOff>
    </xdr:from>
    <xdr:to>
      <xdr:col>32</xdr:col>
      <xdr:colOff>800100</xdr:colOff>
      <xdr:row>17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9ED8844-70F1-4A39-878F-E2447B3E5518}"/>
            </a:ext>
            <a:ext uri="{147F2762-F138-4A5C-976F-8EAC2B608ADB}">
              <a16:predDERef xmlns:a16="http://schemas.microsoft.com/office/drawing/2014/main" pred="{C5C651B9-01FF-429E-B43E-7F228DC0D8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66675</xdr:colOff>
      <xdr:row>23</xdr:row>
      <xdr:rowOff>66675</xdr:rowOff>
    </xdr:from>
    <xdr:to>
      <xdr:col>21</xdr:col>
      <xdr:colOff>57150</xdr:colOff>
      <xdr:row>32</xdr:row>
      <xdr:rowOff>180975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869EA161-709D-41CD-8EF1-451795EFF6E7}"/>
            </a:ext>
            <a:ext uri="{147F2762-F138-4A5C-976F-8EAC2B608ADB}">
              <a16:predDERef xmlns:a16="http://schemas.microsoft.com/office/drawing/2014/main" pred="{C9ED8844-70F1-4A39-878F-E2447B3E55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9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238ED9-D30E-42EF-87DC-CE46AD6D76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0</xdr:colOff>
      <xdr:row>8</xdr:row>
      <xdr:rowOff>9525</xdr:rowOff>
    </xdr:from>
    <xdr:to>
      <xdr:col>40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DF9A130-E22F-44A6-8C81-03582A84C6DA}"/>
            </a:ext>
            <a:ext uri="{147F2762-F138-4A5C-976F-8EAC2B608ADB}">
              <a16:predDERef xmlns:a16="http://schemas.microsoft.com/office/drawing/2014/main" pred="{4C238ED9-D30E-42EF-87DC-CE46AD6D76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8</xdr:row>
      <xdr:rowOff>57150</xdr:rowOff>
    </xdr:from>
    <xdr:to>
      <xdr:col>23</xdr:col>
      <xdr:colOff>590550</xdr:colOff>
      <xdr:row>16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85A812C-E5AF-4FEE-A5E3-9130801B253A}"/>
            </a:ext>
            <a:ext uri="{147F2762-F138-4A5C-976F-8EAC2B608ADB}">
              <a16:predDERef xmlns:a16="http://schemas.microsoft.com/office/drawing/2014/main" pred="{FDF9A130-E22F-44A6-8C81-03582A84C6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9525</xdr:colOff>
      <xdr:row>22</xdr:row>
      <xdr:rowOff>47625</xdr:rowOff>
    </xdr:from>
    <xdr:to>
      <xdr:col>23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7BA41B8F-87E3-4F86-907A-54E6705E818D}"/>
            </a:ext>
            <a:ext uri="{147F2762-F138-4A5C-976F-8EAC2B608ADB}">
              <a16:predDERef xmlns:a16="http://schemas.microsoft.com/office/drawing/2014/main" pred="{185A812C-E5AF-4FEE-A5E3-9130801B25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0</xdr:colOff>
      <xdr:row>22</xdr:row>
      <xdr:rowOff>57150</xdr:rowOff>
    </xdr:from>
    <xdr:to>
      <xdr:col>40</xdr:col>
      <xdr:colOff>704850</xdr:colOff>
      <xdr:row>31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C7F44130-35A6-4BD0-95F3-8B13BC2D8544}"/>
            </a:ext>
            <a:ext uri="{147F2762-F138-4A5C-976F-8EAC2B608ADB}">
              <a16:predDERef xmlns:a16="http://schemas.microsoft.com/office/drawing/2014/main" pred="{7BA41B8F-87E3-4F86-907A-54E6705E81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88D364-7A95-4E3D-9214-8BEB77EDC7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D5E332-B2EE-4A08-BA01-0D367819ECE4}"/>
            </a:ext>
            <a:ext uri="{147F2762-F138-4A5C-976F-8EAC2B608ADB}">
              <a16:predDERef xmlns:a16="http://schemas.microsoft.com/office/drawing/2014/main" pred="{E988D364-7A95-4E3D-9214-8BEB77EDC7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180975</xdr:colOff>
      <xdr:row>8</xdr:row>
      <xdr:rowOff>114300</xdr:rowOff>
    </xdr:from>
    <xdr:to>
      <xdr:col>21</xdr:col>
      <xdr:colOff>552450</xdr:colOff>
      <xdr:row>16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329F45A-CAB1-4134-A9E9-0A760725F080}"/>
            </a:ext>
            <a:ext uri="{147F2762-F138-4A5C-976F-8EAC2B608ADB}">
              <a16:predDERef xmlns:a16="http://schemas.microsoft.com/office/drawing/2014/main" pred="{26D5E332-B2EE-4A08-BA01-0D367819EC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9525</xdr:colOff>
      <xdr:row>22</xdr:row>
      <xdr:rowOff>47625</xdr:rowOff>
    </xdr:from>
    <xdr:to>
      <xdr:col>21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C525DE7-5E16-4A44-A35C-4C16E22C2D15}"/>
            </a:ext>
            <a:ext uri="{147F2762-F138-4A5C-976F-8EAC2B608ADB}">
              <a16:predDERef xmlns:a16="http://schemas.microsoft.com/office/drawing/2014/main" pred="{B329F45A-CAB1-4134-A9E9-0A760725F0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180975</xdr:colOff>
      <xdr:row>22</xdr:row>
      <xdr:rowOff>47625</xdr:rowOff>
    </xdr:from>
    <xdr:to>
      <xdr:col>38</xdr:col>
      <xdr:colOff>695325</xdr:colOff>
      <xdr:row>31</xdr:row>
      <xdr:rowOff>152400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16518AC6-2879-46B3-9FB4-AB1195711295}"/>
            </a:ext>
            <a:ext uri="{147F2762-F138-4A5C-976F-8EAC2B608ADB}">
              <a16:predDERef xmlns:a16="http://schemas.microsoft.com/office/drawing/2014/main" pred="{0C525DE7-5E16-4A44-A35C-4C16E22C2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E80B4B-950F-455C-B256-4B53FA2935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9525</xdr:colOff>
      <xdr:row>8</xdr:row>
      <xdr:rowOff>95250</xdr:rowOff>
    </xdr:from>
    <xdr:to>
      <xdr:col>38</xdr:col>
      <xdr:colOff>771525</xdr:colOff>
      <xdr:row>16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B9F9637-D578-4C63-BE1F-6E877571B3BA}"/>
            </a:ext>
            <a:ext uri="{147F2762-F138-4A5C-976F-8EAC2B608ADB}">
              <a16:predDERef xmlns:a16="http://schemas.microsoft.com/office/drawing/2014/main" pred="{20E80B4B-950F-455C-B256-4B53FA2935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9525</xdr:colOff>
      <xdr:row>22</xdr:row>
      <xdr:rowOff>47625</xdr:rowOff>
    </xdr:from>
    <xdr:to>
      <xdr:col>21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E7EC7AC-8B2E-4494-8FCE-9AE4AD883802}"/>
            </a:ext>
            <a:ext uri="{147F2762-F138-4A5C-976F-8EAC2B608ADB}">
              <a16:predDERef xmlns:a16="http://schemas.microsoft.com/office/drawing/2014/main" pred="{0B9F9637-D578-4C63-BE1F-6E877571B3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0</xdr:colOff>
      <xdr:row>22</xdr:row>
      <xdr:rowOff>57150</xdr:rowOff>
    </xdr:from>
    <xdr:to>
      <xdr:col>38</xdr:col>
      <xdr:colOff>704850</xdr:colOff>
      <xdr:row>31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2BDF0EEA-0A94-4979-8076-F7FFC2CFD3CF}"/>
            </a:ext>
            <a:ext uri="{147F2762-F138-4A5C-976F-8EAC2B608ADB}">
              <a16:predDERef xmlns:a16="http://schemas.microsoft.com/office/drawing/2014/main" pred="{2E7EC7AC-8B2E-4494-8FCE-9AE4AD883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79238A-735A-40D4-92FB-2940EF29A0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38AA193-6B73-4703-B6E9-32A62CE62DDE}"/>
            </a:ext>
            <a:ext uri="{147F2762-F138-4A5C-976F-8EAC2B608ADB}">
              <a16:predDERef xmlns:a16="http://schemas.microsoft.com/office/drawing/2014/main" pred="{5D79238A-735A-40D4-92FB-2940EF29A0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200025</xdr:colOff>
      <xdr:row>8</xdr:row>
      <xdr:rowOff>38100</xdr:rowOff>
    </xdr:from>
    <xdr:to>
      <xdr:col>21</xdr:col>
      <xdr:colOff>571500</xdr:colOff>
      <xdr:row>16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A4FFB37-61D9-4C0E-984D-AE0A1AF338C0}"/>
            </a:ext>
            <a:ext uri="{147F2762-F138-4A5C-976F-8EAC2B608ADB}">
              <a16:predDERef xmlns:a16="http://schemas.microsoft.com/office/drawing/2014/main" pred="{B38AA193-6B73-4703-B6E9-32A62CE62D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9525</xdr:colOff>
      <xdr:row>22</xdr:row>
      <xdr:rowOff>47625</xdr:rowOff>
    </xdr:from>
    <xdr:to>
      <xdr:col>21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BC693E7-C509-427C-9615-83A8944DFECE}"/>
            </a:ext>
            <a:ext uri="{147F2762-F138-4A5C-976F-8EAC2B608ADB}">
              <a16:predDERef xmlns:a16="http://schemas.microsoft.com/office/drawing/2014/main" pred="{7A4FFB37-61D9-4C0E-984D-AE0A1AF338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0</xdr:colOff>
      <xdr:row>22</xdr:row>
      <xdr:rowOff>57150</xdr:rowOff>
    </xdr:from>
    <xdr:to>
      <xdr:col>38</xdr:col>
      <xdr:colOff>704850</xdr:colOff>
      <xdr:row>31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A7EEEE0-9E4B-459D-907B-43B694EFAD49}"/>
            </a:ext>
            <a:ext uri="{147F2762-F138-4A5C-976F-8EAC2B608ADB}">
              <a16:predDERef xmlns:a16="http://schemas.microsoft.com/office/drawing/2014/main" pred="{2BC693E7-C509-427C-9615-83A8944DFE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17</xdr:row>
      <xdr:rowOff>238125</xdr:rowOff>
    </xdr:from>
    <xdr:to>
      <xdr:col>7</xdr:col>
      <xdr:colOff>523875</xdr:colOff>
      <xdr:row>29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B079D3-79DC-43FF-80BF-176654C93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0</xdr:colOff>
      <xdr:row>8</xdr:row>
      <xdr:rowOff>9525</xdr:rowOff>
    </xdr:from>
    <xdr:to>
      <xdr:col>40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3562E99-9D6B-404C-AB96-F505ABFA5779}"/>
            </a:ext>
            <a:ext uri="{147F2762-F138-4A5C-976F-8EAC2B608ADB}">
              <a16:predDERef xmlns:a16="http://schemas.microsoft.com/office/drawing/2014/main" pred="{59B079D3-79DC-43FF-80BF-176654C93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200025</xdr:colOff>
      <xdr:row>8</xdr:row>
      <xdr:rowOff>38100</xdr:rowOff>
    </xdr:from>
    <xdr:to>
      <xdr:col>23</xdr:col>
      <xdr:colOff>571500</xdr:colOff>
      <xdr:row>16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E51338B-4AA1-4558-A726-2828469A33E7}"/>
            </a:ext>
            <a:ext uri="{147F2762-F138-4A5C-976F-8EAC2B608ADB}">
              <a16:predDERef xmlns:a16="http://schemas.microsoft.com/office/drawing/2014/main" pred="{73562E99-9D6B-404C-AB96-F505ABFA57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9525</xdr:colOff>
      <xdr:row>22</xdr:row>
      <xdr:rowOff>47625</xdr:rowOff>
    </xdr:from>
    <xdr:to>
      <xdr:col>23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E70F4D6F-0954-483B-B0AC-DF0C751755C9}"/>
            </a:ext>
            <a:ext uri="{147F2762-F138-4A5C-976F-8EAC2B608ADB}">
              <a16:predDERef xmlns:a16="http://schemas.microsoft.com/office/drawing/2014/main" pred="{3E51338B-4AA1-4558-A726-2828469A3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0</xdr:colOff>
      <xdr:row>22</xdr:row>
      <xdr:rowOff>57150</xdr:rowOff>
    </xdr:from>
    <xdr:to>
      <xdr:col>40</xdr:col>
      <xdr:colOff>704850</xdr:colOff>
      <xdr:row>31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F2816E4C-8021-43E3-96DD-CB4149FCBFF9}"/>
            </a:ext>
            <a:ext uri="{147F2762-F138-4A5C-976F-8EAC2B608ADB}">
              <a16:predDERef xmlns:a16="http://schemas.microsoft.com/office/drawing/2014/main" pred="{E70F4D6F-0954-483B-B0AC-DF0C751755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4052DD-0D2A-4C0E-B471-A411D3E1E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94D23D5-37D5-4D0E-8887-FF384E02D880}"/>
            </a:ext>
            <a:ext uri="{147F2762-F138-4A5C-976F-8EAC2B608ADB}">
              <a16:predDERef xmlns:a16="http://schemas.microsoft.com/office/drawing/2014/main" pred="{924052DD-0D2A-4C0E-B471-A411D3E1E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200025</xdr:colOff>
      <xdr:row>8</xdr:row>
      <xdr:rowOff>38100</xdr:rowOff>
    </xdr:from>
    <xdr:to>
      <xdr:col>21</xdr:col>
      <xdr:colOff>571500</xdr:colOff>
      <xdr:row>16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E3235C2-1AF4-4C6E-9517-A2F8B984F15F}"/>
            </a:ext>
            <a:ext uri="{147F2762-F138-4A5C-976F-8EAC2B608ADB}">
              <a16:predDERef xmlns:a16="http://schemas.microsoft.com/office/drawing/2014/main" pred="{D94D23D5-37D5-4D0E-8887-FF384E02D8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9525</xdr:colOff>
      <xdr:row>22</xdr:row>
      <xdr:rowOff>47625</xdr:rowOff>
    </xdr:from>
    <xdr:to>
      <xdr:col>21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7CDC5EDA-C2FF-4C3E-A497-123BE1F10D0D}"/>
            </a:ext>
            <a:ext uri="{147F2762-F138-4A5C-976F-8EAC2B608ADB}">
              <a16:predDERef xmlns:a16="http://schemas.microsoft.com/office/drawing/2014/main" pred="{FE3235C2-1AF4-4C6E-9517-A2F8B984F1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171450</xdr:colOff>
      <xdr:row>22</xdr:row>
      <xdr:rowOff>152400</xdr:rowOff>
    </xdr:from>
    <xdr:to>
      <xdr:col>38</xdr:col>
      <xdr:colOff>781050</xdr:colOff>
      <xdr:row>31</xdr:row>
      <xdr:rowOff>76200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2084CC9F-5AB8-4170-9670-FD53D74ADD9E}"/>
            </a:ext>
            <a:ext uri="{147F2762-F138-4A5C-976F-8EAC2B608ADB}">
              <a16:predDERef xmlns:a16="http://schemas.microsoft.com/office/drawing/2014/main" pred="{7CDC5EDA-C2FF-4C3E-A497-123BE1F10D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6E047A-919F-4634-A49A-F09E889216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FDCA62C-3394-4533-98C5-BC5D6B01333F}"/>
            </a:ext>
            <a:ext uri="{147F2762-F138-4A5C-976F-8EAC2B608ADB}">
              <a16:predDERef xmlns:a16="http://schemas.microsoft.com/office/drawing/2014/main" pred="{756E047A-919F-4634-A49A-F09E889216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8</xdr:row>
      <xdr:rowOff>57150</xdr:rowOff>
    </xdr:from>
    <xdr:to>
      <xdr:col>21</xdr:col>
      <xdr:colOff>590550</xdr:colOff>
      <xdr:row>16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54A9A8B-66BC-4C38-BFEC-C10DDC8AC72A}"/>
            </a:ext>
            <a:ext uri="{147F2762-F138-4A5C-976F-8EAC2B608ADB}">
              <a16:predDERef xmlns:a16="http://schemas.microsoft.com/office/drawing/2014/main" pred="{2FDCA62C-3394-4533-98C5-BC5D6B0133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9525</xdr:colOff>
      <xdr:row>22</xdr:row>
      <xdr:rowOff>47625</xdr:rowOff>
    </xdr:from>
    <xdr:to>
      <xdr:col>21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D6437A36-A3E2-40C2-B048-C1872C38846B}"/>
            </a:ext>
            <a:ext uri="{147F2762-F138-4A5C-976F-8EAC2B608ADB}">
              <a16:predDERef xmlns:a16="http://schemas.microsoft.com/office/drawing/2014/main" pred="{754A9A8B-66BC-4C38-BFEC-C10DDC8AC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0</xdr:colOff>
      <xdr:row>22</xdr:row>
      <xdr:rowOff>57150</xdr:rowOff>
    </xdr:from>
    <xdr:to>
      <xdr:col>38</xdr:col>
      <xdr:colOff>704850</xdr:colOff>
      <xdr:row>31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F7349178-5B1A-4814-BFA4-7F9E54D3A73B}"/>
            </a:ext>
            <a:ext uri="{147F2762-F138-4A5C-976F-8EAC2B608ADB}">
              <a16:predDERef xmlns:a16="http://schemas.microsoft.com/office/drawing/2014/main" pred="{D6437A36-A3E2-40C2-B048-C1872C3884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161925</xdr:rowOff>
    </xdr:from>
    <xdr:to>
      <xdr:col>7</xdr:col>
      <xdr:colOff>657225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9F7F3F-F8A7-40F2-8477-0CD79E99C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17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1ABA67-37F1-4474-8054-706CF74B373F}"/>
            </a:ext>
            <a:ext uri="{147F2762-F138-4A5C-976F-8EAC2B608ADB}">
              <a16:predDERef xmlns:a16="http://schemas.microsoft.com/office/drawing/2014/main" pred="{E79F7F3F-F8A7-40F2-8477-0CD79E99C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8</xdr:row>
      <xdr:rowOff>57150</xdr:rowOff>
    </xdr:from>
    <xdr:to>
      <xdr:col>21</xdr:col>
      <xdr:colOff>590550</xdr:colOff>
      <xdr:row>17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F56A9E-A5A5-462A-85FF-6F9717D59E90}"/>
            </a:ext>
            <a:ext uri="{147F2762-F138-4A5C-976F-8EAC2B608ADB}">
              <a16:predDERef xmlns:a16="http://schemas.microsoft.com/office/drawing/2014/main" pred="{761ABA67-37F1-4474-8054-706CF74B3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9525</xdr:colOff>
      <xdr:row>23</xdr:row>
      <xdr:rowOff>47625</xdr:rowOff>
    </xdr:from>
    <xdr:to>
      <xdr:col>21</xdr:col>
      <xdr:colOff>552450</xdr:colOff>
      <xdr:row>32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F8386E90-C215-4FA2-9B1B-25712C33A801}"/>
            </a:ext>
            <a:ext uri="{147F2762-F138-4A5C-976F-8EAC2B608ADB}">
              <a16:predDERef xmlns:a16="http://schemas.microsoft.com/office/drawing/2014/main" pred="{C3F56A9E-A5A5-462A-85FF-6F9717D59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0</xdr:colOff>
      <xdr:row>23</xdr:row>
      <xdr:rowOff>57150</xdr:rowOff>
    </xdr:from>
    <xdr:to>
      <xdr:col>38</xdr:col>
      <xdr:colOff>704850</xdr:colOff>
      <xdr:row>32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E1661862-3E59-40A5-B28E-025BD4B83655}"/>
            </a:ext>
            <a:ext uri="{147F2762-F138-4A5C-976F-8EAC2B608ADB}">
              <a16:predDERef xmlns:a16="http://schemas.microsoft.com/office/drawing/2014/main" pred="{F8386E90-C215-4FA2-9B1B-25712C33A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690CDD-E173-40F1-AE6D-DAA85B2FB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00F72C4-E8AE-4733-9740-DFDD8DB9AC32}"/>
            </a:ext>
            <a:ext uri="{147F2762-F138-4A5C-976F-8EAC2B608ADB}">
              <a16:predDERef xmlns:a16="http://schemas.microsoft.com/office/drawing/2014/main" pred="{96690CDD-E173-40F1-AE6D-DAA85B2FB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8</xdr:row>
      <xdr:rowOff>57150</xdr:rowOff>
    </xdr:from>
    <xdr:to>
      <xdr:col>21</xdr:col>
      <xdr:colOff>590550</xdr:colOff>
      <xdr:row>16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4F47EB8-256B-477F-8EE6-6EBE116E4CF2}"/>
            </a:ext>
            <a:ext uri="{147F2762-F138-4A5C-976F-8EAC2B608ADB}">
              <a16:predDERef xmlns:a16="http://schemas.microsoft.com/office/drawing/2014/main" pred="{700F72C4-E8AE-4733-9740-DFDD8DB9AC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9525</xdr:colOff>
      <xdr:row>22</xdr:row>
      <xdr:rowOff>47625</xdr:rowOff>
    </xdr:from>
    <xdr:to>
      <xdr:col>21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51AA8FD-D0D1-4A13-96B5-634FE222D4C3}"/>
            </a:ext>
            <a:ext uri="{147F2762-F138-4A5C-976F-8EAC2B608ADB}">
              <a16:predDERef xmlns:a16="http://schemas.microsoft.com/office/drawing/2014/main" pred="{04F47EB8-256B-477F-8EE6-6EBE116E4C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0</xdr:colOff>
      <xdr:row>22</xdr:row>
      <xdr:rowOff>57150</xdr:rowOff>
    </xdr:from>
    <xdr:to>
      <xdr:col>38</xdr:col>
      <xdr:colOff>704850</xdr:colOff>
      <xdr:row>31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F2567BDC-3519-46AC-9E99-DC17570CBD2B}"/>
            </a:ext>
            <a:ext uri="{147F2762-F138-4A5C-976F-8EAC2B608ADB}">
              <a16:predDERef xmlns:a16="http://schemas.microsoft.com/office/drawing/2014/main" pred="{251AA8FD-D0D1-4A13-96B5-634FE222D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9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196550-A4B9-41DF-BF46-90F3AD5F5E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0</xdr:colOff>
      <xdr:row>8</xdr:row>
      <xdr:rowOff>9525</xdr:rowOff>
    </xdr:from>
    <xdr:to>
      <xdr:col>40</xdr:col>
      <xdr:colOff>762000</xdr:colOff>
      <xdr:row>16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615FE6A-9378-4020-9846-D56B26383654}"/>
            </a:ext>
            <a:ext uri="{147F2762-F138-4A5C-976F-8EAC2B608ADB}">
              <a16:predDERef xmlns:a16="http://schemas.microsoft.com/office/drawing/2014/main" pred="{A4196550-A4B9-41DF-BF46-90F3AD5F5E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8</xdr:row>
      <xdr:rowOff>57150</xdr:rowOff>
    </xdr:from>
    <xdr:to>
      <xdr:col>23</xdr:col>
      <xdr:colOff>590550</xdr:colOff>
      <xdr:row>16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F048A86-D674-48B2-980A-72213A3C9920}"/>
            </a:ext>
            <a:ext uri="{147F2762-F138-4A5C-976F-8EAC2B608ADB}">
              <a16:predDERef xmlns:a16="http://schemas.microsoft.com/office/drawing/2014/main" pred="{C615FE6A-9378-4020-9846-D56B26383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9525</xdr:colOff>
      <xdr:row>22</xdr:row>
      <xdr:rowOff>47625</xdr:rowOff>
    </xdr:from>
    <xdr:to>
      <xdr:col>23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ABBE0705-9BFB-4C63-BF07-7521FE47187E}"/>
            </a:ext>
            <a:ext uri="{147F2762-F138-4A5C-976F-8EAC2B608ADB}">
              <a16:predDERef xmlns:a16="http://schemas.microsoft.com/office/drawing/2014/main" pred="{1F048A86-D674-48B2-980A-72213A3C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0</xdr:colOff>
      <xdr:row>22</xdr:row>
      <xdr:rowOff>57150</xdr:rowOff>
    </xdr:from>
    <xdr:to>
      <xdr:col>40</xdr:col>
      <xdr:colOff>704850</xdr:colOff>
      <xdr:row>31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8B2F42FE-7729-4DE1-9A2E-394690E1F896}"/>
            </a:ext>
            <a:ext uri="{147F2762-F138-4A5C-976F-8EAC2B608ADB}">
              <a16:predDERef xmlns:a16="http://schemas.microsoft.com/office/drawing/2014/main" pred="{ABBE0705-9BFB-4C63-BF07-7521FE4718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0</xdr:rowOff>
    </xdr:from>
    <xdr:to>
      <xdr:col>9</xdr:col>
      <xdr:colOff>657225</xdr:colOff>
      <xdr:row>29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C715C4-150E-4844-A3E0-47C17ED153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171450</xdr:colOff>
      <xdr:row>8</xdr:row>
      <xdr:rowOff>57150</xdr:rowOff>
    </xdr:from>
    <xdr:to>
      <xdr:col>40</xdr:col>
      <xdr:colOff>742950</xdr:colOff>
      <xdr:row>16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34808F-DF8E-4C89-A549-5B07F5270B31}"/>
            </a:ext>
            <a:ext uri="{147F2762-F138-4A5C-976F-8EAC2B608ADB}">
              <a16:predDERef xmlns:a16="http://schemas.microsoft.com/office/drawing/2014/main" pred="{A4C715C4-150E-4844-A3E0-47C17ED153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8</xdr:row>
      <xdr:rowOff>57150</xdr:rowOff>
    </xdr:from>
    <xdr:to>
      <xdr:col>23</xdr:col>
      <xdr:colOff>590550</xdr:colOff>
      <xdr:row>16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1DBA3D2-8D5C-43CE-B84B-14639BAFCAC9}"/>
            </a:ext>
            <a:ext uri="{147F2762-F138-4A5C-976F-8EAC2B608ADB}">
              <a16:predDERef xmlns:a16="http://schemas.microsoft.com/office/drawing/2014/main" pred="{3D34808F-DF8E-4C89-A549-5B07F5270B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9525</xdr:colOff>
      <xdr:row>22</xdr:row>
      <xdr:rowOff>47625</xdr:rowOff>
    </xdr:from>
    <xdr:to>
      <xdr:col>23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9491569-7BCF-48EA-8B8F-3D837D8BC1F6}"/>
            </a:ext>
            <a:ext uri="{147F2762-F138-4A5C-976F-8EAC2B608ADB}">
              <a16:predDERef xmlns:a16="http://schemas.microsoft.com/office/drawing/2014/main" pred="{51DBA3D2-8D5C-43CE-B84B-14639BAFCA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0</xdr:colOff>
      <xdr:row>22</xdr:row>
      <xdr:rowOff>57150</xdr:rowOff>
    </xdr:from>
    <xdr:to>
      <xdr:col>40</xdr:col>
      <xdr:colOff>704850</xdr:colOff>
      <xdr:row>31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AAC364DF-4B9F-4226-9708-C2A6CE00E348}"/>
            </a:ext>
            <a:ext uri="{147F2762-F138-4A5C-976F-8EAC2B608ADB}">
              <a16:predDERef xmlns:a16="http://schemas.microsoft.com/office/drawing/2014/main" pred="{29491569-7BCF-48EA-8B8F-3D837D8BC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</xdr:row>
      <xdr:rowOff>57150</xdr:rowOff>
    </xdr:from>
    <xdr:to>
      <xdr:col>23</xdr:col>
      <xdr:colOff>590550</xdr:colOff>
      <xdr:row>16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D68AEC6-29ED-492B-B008-2B3B9BD7C22D}"/>
            </a:ext>
            <a:ext uri="{147F2762-F138-4A5C-976F-8EAC2B608ADB}">
              <a16:predDERef xmlns:a16="http://schemas.microsoft.com/office/drawing/2014/main" pred="{D88DB3CA-4B8E-4A4D-AAFA-1AAADB4188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22</xdr:row>
      <xdr:rowOff>47625</xdr:rowOff>
    </xdr:from>
    <xdr:to>
      <xdr:col>23</xdr:col>
      <xdr:colOff>552450</xdr:colOff>
      <xdr:row>31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C715E5C6-C8B5-417C-96AD-28A30F890B91}"/>
            </a:ext>
            <a:ext uri="{147F2762-F138-4A5C-976F-8EAC2B608ADB}">
              <a16:predDERef xmlns:a16="http://schemas.microsoft.com/office/drawing/2014/main" pred="{6D68AEC6-29ED-492B-B008-2B3B9BD7C2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161925</xdr:rowOff>
    </xdr:from>
    <xdr:to>
      <xdr:col>7</xdr:col>
      <xdr:colOff>657225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51509F-7593-4337-B96C-2BA2C0DFB8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17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AF7915-33A2-43DB-A054-E4884767DB37}"/>
            </a:ext>
            <a:ext uri="{147F2762-F138-4A5C-976F-8EAC2B608ADB}">
              <a16:predDERef xmlns:a16="http://schemas.microsoft.com/office/drawing/2014/main" pred="{D151509F-7593-4337-B96C-2BA2C0DFB8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8</xdr:row>
      <xdr:rowOff>57150</xdr:rowOff>
    </xdr:from>
    <xdr:to>
      <xdr:col>21</xdr:col>
      <xdr:colOff>590550</xdr:colOff>
      <xdr:row>17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B7F25FF-4350-4CAF-B8AE-517A05A629A7}"/>
            </a:ext>
            <a:ext uri="{147F2762-F138-4A5C-976F-8EAC2B608ADB}">
              <a16:predDERef xmlns:a16="http://schemas.microsoft.com/office/drawing/2014/main" pred="{48AF7915-33A2-43DB-A054-E4884767DB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9525</xdr:colOff>
      <xdr:row>23</xdr:row>
      <xdr:rowOff>47625</xdr:rowOff>
    </xdr:from>
    <xdr:to>
      <xdr:col>21</xdr:col>
      <xdr:colOff>552450</xdr:colOff>
      <xdr:row>32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9D6510CA-034F-468A-B824-88AFE2844CC6}"/>
            </a:ext>
            <a:ext uri="{147F2762-F138-4A5C-976F-8EAC2B608ADB}">
              <a16:predDERef xmlns:a16="http://schemas.microsoft.com/office/drawing/2014/main" pred="{BB7F25FF-4350-4CAF-B8AE-517A05A629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0</xdr:colOff>
      <xdr:row>23</xdr:row>
      <xdr:rowOff>57150</xdr:rowOff>
    </xdr:from>
    <xdr:to>
      <xdr:col>38</xdr:col>
      <xdr:colOff>704850</xdr:colOff>
      <xdr:row>32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15F1C2D9-2CA2-4F0E-8DA7-A098EF0418D2}"/>
            </a:ext>
            <a:ext uri="{147F2762-F138-4A5C-976F-8EAC2B608ADB}">
              <a16:predDERef xmlns:a16="http://schemas.microsoft.com/office/drawing/2014/main" pred="{9D6510CA-034F-468A-B824-88AFE2844C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161925</xdr:rowOff>
    </xdr:from>
    <xdr:to>
      <xdr:col>7</xdr:col>
      <xdr:colOff>657225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CB60A8-F577-42DF-A35A-7C8AA4CAB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17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E2D056-4A0A-4E1F-ACD8-6A38F8E44096}"/>
            </a:ext>
            <a:ext uri="{147F2762-F138-4A5C-976F-8EAC2B608ADB}">
              <a16:predDERef xmlns:a16="http://schemas.microsoft.com/office/drawing/2014/main" pred="{B4CB60A8-F577-42DF-A35A-7C8AA4CAB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8</xdr:row>
      <xdr:rowOff>57150</xdr:rowOff>
    </xdr:from>
    <xdr:to>
      <xdr:col>21</xdr:col>
      <xdr:colOff>590550</xdr:colOff>
      <xdr:row>17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07262E-5352-4DA9-93B4-D01D453A252A}"/>
            </a:ext>
            <a:ext uri="{147F2762-F138-4A5C-976F-8EAC2B608ADB}">
              <a16:predDERef xmlns:a16="http://schemas.microsoft.com/office/drawing/2014/main" pred="{36E2D056-4A0A-4E1F-ACD8-6A38F8E440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76200</xdr:colOff>
      <xdr:row>23</xdr:row>
      <xdr:rowOff>28575</xdr:rowOff>
    </xdr:from>
    <xdr:to>
      <xdr:col>22</xdr:col>
      <xdr:colOff>9525</xdr:colOff>
      <xdr:row>32</xdr:row>
      <xdr:rowOff>142875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9AF727B1-C664-43C1-B1F5-947CA9788C1A}"/>
            </a:ext>
            <a:ext uri="{147F2762-F138-4A5C-976F-8EAC2B608ADB}">
              <a16:predDERef xmlns:a16="http://schemas.microsoft.com/office/drawing/2014/main" pred="{C307262E-5352-4DA9-93B4-D01D453A25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0</xdr:colOff>
      <xdr:row>23</xdr:row>
      <xdr:rowOff>57150</xdr:rowOff>
    </xdr:from>
    <xdr:to>
      <xdr:col>38</xdr:col>
      <xdr:colOff>704850</xdr:colOff>
      <xdr:row>32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EC3A42DF-78F2-4D3F-8372-5113FF73BD0D}"/>
            </a:ext>
            <a:ext uri="{147F2762-F138-4A5C-976F-8EAC2B608ADB}">
              <a16:predDERef xmlns:a16="http://schemas.microsoft.com/office/drawing/2014/main" pred="{9AF727B1-C664-43C1-B1F5-947CA9788C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161925</xdr:rowOff>
    </xdr:from>
    <xdr:to>
      <xdr:col>7</xdr:col>
      <xdr:colOff>657225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ED1F05-6421-481A-8611-620443E60B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8</xdr:row>
      <xdr:rowOff>9525</xdr:rowOff>
    </xdr:from>
    <xdr:to>
      <xdr:col>38</xdr:col>
      <xdr:colOff>762000</xdr:colOff>
      <xdr:row>17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BF63DBE-EAA8-4698-B88D-01C21AEFA541}"/>
            </a:ext>
            <a:ext uri="{147F2762-F138-4A5C-976F-8EAC2B608ADB}">
              <a16:predDERef xmlns:a16="http://schemas.microsoft.com/office/drawing/2014/main" pred="{BEED1F05-6421-481A-8611-620443E60B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8</xdr:row>
      <xdr:rowOff>57150</xdr:rowOff>
    </xdr:from>
    <xdr:to>
      <xdr:col>21</xdr:col>
      <xdr:colOff>590550</xdr:colOff>
      <xdr:row>17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53CA6ED-237F-4967-AE0A-5455B457EA60}"/>
            </a:ext>
            <a:ext uri="{147F2762-F138-4A5C-976F-8EAC2B608ADB}">
              <a16:predDERef xmlns:a16="http://schemas.microsoft.com/office/drawing/2014/main" pred="{9BF63DBE-EAA8-4698-B88D-01C21AEFA5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123825</xdr:colOff>
      <xdr:row>23</xdr:row>
      <xdr:rowOff>152400</xdr:rowOff>
    </xdr:from>
    <xdr:to>
      <xdr:col>21</xdr:col>
      <xdr:colOff>438150</xdr:colOff>
      <xdr:row>32</xdr:row>
      <xdr:rowOff>104775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7788BD37-F7ED-4C40-991E-86732BAAD1EA}"/>
            </a:ext>
            <a:ext uri="{147F2762-F138-4A5C-976F-8EAC2B608ADB}">
              <a16:predDERef xmlns:a16="http://schemas.microsoft.com/office/drawing/2014/main" pred="{053CA6ED-237F-4967-AE0A-5455B457EA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171450</xdr:colOff>
      <xdr:row>23</xdr:row>
      <xdr:rowOff>28575</xdr:rowOff>
    </xdr:from>
    <xdr:to>
      <xdr:col>39</xdr:col>
      <xdr:colOff>28575</xdr:colOff>
      <xdr:row>32</xdr:row>
      <xdr:rowOff>133350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E6A7EB9A-18DA-48F4-B6CC-03B4295B4B75}"/>
            </a:ext>
            <a:ext uri="{147F2762-F138-4A5C-976F-8EAC2B608ADB}">
              <a16:predDERef xmlns:a16="http://schemas.microsoft.com/office/drawing/2014/main" pred="{7788BD37-F7ED-4C40-991E-86732BAAD1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161925</xdr:rowOff>
    </xdr:from>
    <xdr:to>
      <xdr:col>9</xdr:col>
      <xdr:colOff>657225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FD436C-4F89-40BB-9C73-C0EE5E70FC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161925</xdr:colOff>
      <xdr:row>7</xdr:row>
      <xdr:rowOff>123825</xdr:rowOff>
    </xdr:from>
    <xdr:to>
      <xdr:col>40</xdr:col>
      <xdr:colOff>609600</xdr:colOff>
      <xdr:row>16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E613970-8FD8-41B4-90D2-7D555A633D27}"/>
            </a:ext>
            <a:ext uri="{147F2762-F138-4A5C-976F-8EAC2B608ADB}">
              <a16:predDERef xmlns:a16="http://schemas.microsoft.com/office/drawing/2014/main" pred="{5FFD436C-4F89-40BB-9C73-C0EE5E70FC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8</xdr:row>
      <xdr:rowOff>57150</xdr:rowOff>
    </xdr:from>
    <xdr:to>
      <xdr:col>23</xdr:col>
      <xdr:colOff>590550</xdr:colOff>
      <xdr:row>17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AC0A3B-40AA-4482-AEA0-048BA256F2B7}"/>
            </a:ext>
            <a:ext uri="{147F2762-F138-4A5C-976F-8EAC2B608ADB}">
              <a16:predDERef xmlns:a16="http://schemas.microsoft.com/office/drawing/2014/main" pred="{8E613970-8FD8-41B4-90D2-7D555A633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9525</xdr:colOff>
      <xdr:row>23</xdr:row>
      <xdr:rowOff>47625</xdr:rowOff>
    </xdr:from>
    <xdr:to>
      <xdr:col>23</xdr:col>
      <xdr:colOff>552450</xdr:colOff>
      <xdr:row>32</xdr:row>
      <xdr:rowOff>161925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3C98767-EC45-4F7D-B792-E439DBBFF497}"/>
            </a:ext>
            <a:ext uri="{147F2762-F138-4A5C-976F-8EAC2B608ADB}">
              <a16:predDERef xmlns:a16="http://schemas.microsoft.com/office/drawing/2014/main" pred="{00AC0A3B-40AA-4482-AEA0-048BA256F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0</xdr:colOff>
      <xdr:row>23</xdr:row>
      <xdr:rowOff>57150</xdr:rowOff>
    </xdr:from>
    <xdr:to>
      <xdr:col>40</xdr:col>
      <xdr:colOff>704850</xdr:colOff>
      <xdr:row>32</xdr:row>
      <xdr:rowOff>161925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52DB9A3A-23FF-4982-9530-C92735A87D2A}"/>
            </a:ext>
            <a:ext uri="{147F2762-F138-4A5C-976F-8EAC2B608ADB}">
              <a16:predDERef xmlns:a16="http://schemas.microsoft.com/office/drawing/2014/main" pred="{03C98767-EC45-4F7D-B792-E439DBBFF4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7B053CF9-9EB6-4029-91F1-CC244A55F8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23812</xdr:colOff>
      <xdr:row>23</xdr:row>
      <xdr:rowOff>38101</xdr:rowOff>
    </xdr:from>
    <xdr:to>
      <xdr:col>21</xdr:col>
      <xdr:colOff>9525</xdr:colOff>
      <xdr:row>30</xdr:row>
      <xdr:rowOff>142875</xdr:rowOff>
    </xdr:to>
    <xdr:graphicFrame macro="">
      <xdr:nvGraphicFramePr>
        <xdr:cNvPr id="17" name="Diagramma 7">
          <a:extLst>
            <a:ext uri="{FF2B5EF4-FFF2-40B4-BE49-F238E27FC236}">
              <a16:creationId xmlns:a16="http://schemas.microsoft.com/office/drawing/2014/main" id="{460531BD-A107-0623-C8ED-D7946C6191B9}"/>
            </a:ext>
            <a:ext uri="{147F2762-F138-4A5C-976F-8EAC2B608ADB}">
              <a16:predDERef xmlns:a16="http://schemas.microsoft.com/office/drawing/2014/main" pred="{7B053CF9-9EB6-4029-91F1-CC244A55F8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161925</xdr:rowOff>
    </xdr:from>
    <xdr:to>
      <xdr:col>7</xdr:col>
      <xdr:colOff>657225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C760A2-4BFC-4943-BAF9-92621586F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23812</xdr:colOff>
      <xdr:row>8</xdr:row>
      <xdr:rowOff>104775</xdr:rowOff>
    </xdr:from>
    <xdr:to>
      <xdr:col>13</xdr:col>
      <xdr:colOff>619125</xdr:colOff>
      <xdr:row>17</xdr:row>
      <xdr:rowOff>114300</xdr:rowOff>
    </xdr:to>
    <xdr:graphicFrame macro="">
      <xdr:nvGraphicFramePr>
        <xdr:cNvPr id="7" name="Diagramma 6">
          <a:extLst>
            <a:ext uri="{FF2B5EF4-FFF2-40B4-BE49-F238E27FC236}">
              <a16:creationId xmlns:a16="http://schemas.microsoft.com/office/drawing/2014/main" id="{1A40511E-4A68-392C-93C6-AD36634DA356}"/>
            </a:ext>
            <a:ext uri="{147F2762-F138-4A5C-976F-8EAC2B608ADB}">
              <a16:predDERef xmlns:a16="http://schemas.microsoft.com/office/drawing/2014/main" pred="{35C760A2-4BFC-4943-BAF9-92621586FB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42862</xdr:colOff>
      <xdr:row>23</xdr:row>
      <xdr:rowOff>47625</xdr:rowOff>
    </xdr:from>
    <xdr:to>
      <xdr:col>13</xdr:col>
      <xdr:colOff>695325</xdr:colOff>
      <xdr:row>32</xdr:row>
      <xdr:rowOff>104775</xdr:rowOff>
    </xdr:to>
    <xdr:graphicFrame macro="">
      <xdr:nvGraphicFramePr>
        <xdr:cNvPr id="8" name="Diagramma 7">
          <a:extLst>
            <a:ext uri="{FF2B5EF4-FFF2-40B4-BE49-F238E27FC236}">
              <a16:creationId xmlns:a16="http://schemas.microsoft.com/office/drawing/2014/main" id="{420B3DB0-B5F6-AB47-5B48-AEF0EF6EFFDA}"/>
            </a:ext>
            <a:ext uri="{147F2762-F138-4A5C-976F-8EAC2B608ADB}">
              <a16:predDERef xmlns:a16="http://schemas.microsoft.com/office/drawing/2014/main" pred="{1A40511E-4A68-392C-93C6-AD36634DA3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180975</xdr:colOff>
      <xdr:row>7</xdr:row>
      <xdr:rowOff>38100</xdr:rowOff>
    </xdr:from>
    <xdr:to>
      <xdr:col>31</xdr:col>
      <xdr:colOff>838200</xdr:colOff>
      <xdr:row>16</xdr:row>
      <xdr:rowOff>28575</xdr:rowOff>
    </xdr:to>
    <xdr:graphicFrame macro="">
      <xdr:nvGraphicFramePr>
        <xdr:cNvPr id="3" name="Chart 2" descr="Chart type: Clustered Column. 'Field2'&#10;&#10;Description automatically generated">
          <a:extLst>
            <a:ext uri="{FF2B5EF4-FFF2-40B4-BE49-F238E27FC236}">
              <a16:creationId xmlns:a16="http://schemas.microsoft.com/office/drawing/2014/main" id="{EFC624C4-B052-A9D6-96C6-CA248622C232}"/>
            </a:ext>
            <a:ext uri="{147F2762-F138-4A5C-976F-8EAC2B608ADB}">
              <a16:predDERef xmlns:a16="http://schemas.microsoft.com/office/drawing/2014/main" pred="{420B3DB0-B5F6-AB47-5B48-AEF0EF6EFF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9525</xdr:colOff>
      <xdr:row>23</xdr:row>
      <xdr:rowOff>171450</xdr:rowOff>
    </xdr:from>
    <xdr:to>
      <xdr:col>31</xdr:col>
      <xdr:colOff>800100</xdr:colOff>
      <xdr:row>32</xdr:row>
      <xdr:rowOff>9525</xdr:rowOff>
    </xdr:to>
    <xdr:graphicFrame macro="">
      <xdr:nvGraphicFramePr>
        <xdr:cNvPr id="4" name="Chart 3" descr="Chart type: Line, Clustered Column. 'Field1', 'Field2', 'Field3'&#10;&#10;Description automatically generated">
          <a:extLst>
            <a:ext uri="{FF2B5EF4-FFF2-40B4-BE49-F238E27FC236}">
              <a16:creationId xmlns:a16="http://schemas.microsoft.com/office/drawing/2014/main" id="{B12E5A01-6560-5F02-891F-DA2E365BE8E7}"/>
            </a:ext>
            <a:ext uri="{147F2762-F138-4A5C-976F-8EAC2B608ADB}">
              <a16:predDERef xmlns:a16="http://schemas.microsoft.com/office/drawing/2014/main" pred="{EFC624C4-B052-A9D6-96C6-CA248622C2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10FB7C-2B41-4694-8484-5E8894AD7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11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3F9492-49DE-450D-B37A-3F0E37DC0E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30</xdr:col>
      <xdr:colOff>0</xdr:colOff>
      <xdr:row>7</xdr:row>
      <xdr:rowOff>95250</xdr:rowOff>
    </xdr:from>
    <xdr:to>
      <xdr:col>40</xdr:col>
      <xdr:colOff>561975</xdr:colOff>
      <xdr:row>15</xdr:row>
      <xdr:rowOff>180975</xdr:rowOff>
    </xdr:to>
    <xdr:graphicFrame macro="">
      <xdr:nvGraphicFramePr>
        <xdr:cNvPr id="9" name="Diagramma 79">
          <a:extLst>
            <a:ext uri="{FF2B5EF4-FFF2-40B4-BE49-F238E27FC236}">
              <a16:creationId xmlns:a16="http://schemas.microsoft.com/office/drawing/2014/main" id="{74D68635-97AE-6587-3A08-CF3404EB4FF6}"/>
            </a:ext>
            <a:ext uri="{147F2762-F138-4A5C-976F-8EAC2B608ADB}">
              <a16:predDERef xmlns:a16="http://schemas.microsoft.com/office/drawing/2014/main" pred="{4A3F9492-49DE-450D-B37A-3F0E37DC0E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9525</xdr:colOff>
      <xdr:row>22</xdr:row>
      <xdr:rowOff>133350</xdr:rowOff>
    </xdr:from>
    <xdr:to>
      <xdr:col>40</xdr:col>
      <xdr:colOff>542925</xdr:colOff>
      <xdr:row>30</xdr:row>
      <xdr:rowOff>180975</xdr:rowOff>
    </xdr:to>
    <xdr:graphicFrame macro="">
      <xdr:nvGraphicFramePr>
        <xdr:cNvPr id="6" name="Diagramma 80">
          <a:extLst>
            <a:ext uri="{FF2B5EF4-FFF2-40B4-BE49-F238E27FC236}">
              <a16:creationId xmlns:a16="http://schemas.microsoft.com/office/drawing/2014/main" id="{88371EF0-D782-81EC-4AB4-98AC6D425A6D}"/>
            </a:ext>
            <a:ext uri="{147F2762-F138-4A5C-976F-8EAC2B608ADB}">
              <a16:predDERef xmlns:a16="http://schemas.microsoft.com/office/drawing/2014/main" pred="{74D68635-97AE-6587-3A08-CF3404EB4F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161925</xdr:rowOff>
    </xdr:from>
    <xdr:to>
      <xdr:col>9</xdr:col>
      <xdr:colOff>657225</xdr:colOff>
      <xdr:row>28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BE6385-FC29-46DB-A10D-DFC15D56ED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204787</xdr:colOff>
      <xdr:row>9</xdr:row>
      <xdr:rowOff>9526</xdr:rowOff>
    </xdr:from>
    <xdr:to>
      <xdr:col>17</xdr:col>
      <xdr:colOff>590550</xdr:colOff>
      <xdr:row>17</xdr:row>
      <xdr:rowOff>28576</xdr:rowOff>
    </xdr:to>
    <xdr:graphicFrame macro="">
      <xdr:nvGraphicFramePr>
        <xdr:cNvPr id="9" name="Diagramma 8">
          <a:extLst>
            <a:ext uri="{FF2B5EF4-FFF2-40B4-BE49-F238E27FC236}">
              <a16:creationId xmlns:a16="http://schemas.microsoft.com/office/drawing/2014/main" id="{FABE9EBD-48C6-E394-6CFC-A6A59B4FCC2E}"/>
            </a:ext>
            <a:ext uri="{147F2762-F138-4A5C-976F-8EAC2B608ADB}">
              <a16:predDERef xmlns:a16="http://schemas.microsoft.com/office/drawing/2014/main" pred="{3DBE6385-FC29-46DB-A10D-DFC15D56ED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0</xdr:colOff>
      <xdr:row>7</xdr:row>
      <xdr:rowOff>114300</xdr:rowOff>
    </xdr:from>
    <xdr:to>
      <xdr:col>40</xdr:col>
      <xdr:colOff>733425</xdr:colOff>
      <xdr:row>17</xdr:row>
      <xdr:rowOff>66675</xdr:rowOff>
    </xdr:to>
    <xdr:graphicFrame macro="">
      <xdr:nvGraphicFramePr>
        <xdr:cNvPr id="10" name="Diagramma 9">
          <a:extLst>
            <a:ext uri="{FF2B5EF4-FFF2-40B4-BE49-F238E27FC236}">
              <a16:creationId xmlns:a16="http://schemas.microsoft.com/office/drawing/2014/main" id="{9ABCA686-D452-E152-10BC-AE1E6741FC45}"/>
            </a:ext>
            <a:ext uri="{147F2762-F138-4A5C-976F-8EAC2B608ADB}">
              <a16:predDERef xmlns:a16="http://schemas.microsoft.com/office/drawing/2014/main" pred="{FABE9EBD-48C6-E394-6CFC-A6A59B4FCC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42862</xdr:colOff>
      <xdr:row>23</xdr:row>
      <xdr:rowOff>104775</xdr:rowOff>
    </xdr:from>
    <xdr:to>
      <xdr:col>18</xdr:col>
      <xdr:colOff>0</xdr:colOff>
      <xdr:row>30</xdr:row>
      <xdr:rowOff>104775</xdr:rowOff>
    </xdr:to>
    <xdr:graphicFrame macro="">
      <xdr:nvGraphicFramePr>
        <xdr:cNvPr id="11" name="Diagramma 10">
          <a:extLst>
            <a:ext uri="{FF2B5EF4-FFF2-40B4-BE49-F238E27FC236}">
              <a16:creationId xmlns:a16="http://schemas.microsoft.com/office/drawing/2014/main" id="{67069FD7-73E2-8C35-85F3-D7FF57D5669D}"/>
            </a:ext>
            <a:ext uri="{147F2762-F138-4A5C-976F-8EAC2B608ADB}">
              <a16:predDERef xmlns:a16="http://schemas.microsoft.com/office/drawing/2014/main" pred="{9ABCA686-D452-E152-10BC-AE1E6741FC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161925</xdr:colOff>
      <xdr:row>23</xdr:row>
      <xdr:rowOff>76200</xdr:rowOff>
    </xdr:from>
    <xdr:to>
      <xdr:col>40</xdr:col>
      <xdr:colOff>762000</xdr:colOff>
      <xdr:row>30</xdr:row>
      <xdr:rowOff>76200</xdr:rowOff>
    </xdr:to>
    <xdr:graphicFrame macro="">
      <xdr:nvGraphicFramePr>
        <xdr:cNvPr id="12" name="Diagramma 11">
          <a:extLst>
            <a:ext uri="{FF2B5EF4-FFF2-40B4-BE49-F238E27FC236}">
              <a16:creationId xmlns:a16="http://schemas.microsoft.com/office/drawing/2014/main" id="{0ECA3F34-CA6E-71F6-DBAF-4D50A1C3738D}"/>
            </a:ext>
            <a:ext uri="{147F2762-F138-4A5C-976F-8EAC2B608ADB}">
              <a16:predDERef xmlns:a16="http://schemas.microsoft.com/office/drawing/2014/main" pred="{67069FD7-73E2-8C35-85F3-D7FF57D566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B60B0D-72D8-4070-A933-09CF02EBE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161925</xdr:rowOff>
    </xdr:from>
    <xdr:to>
      <xdr:col>7</xdr:col>
      <xdr:colOff>657225</xdr:colOff>
      <xdr:row>29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A3AD17-E4B3-4C3B-ACCA-7529DDE53D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161925</xdr:rowOff>
    </xdr:from>
    <xdr:to>
      <xdr:col>7</xdr:col>
      <xdr:colOff>657225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305504-2D4A-4368-965F-A5539C037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214312</xdr:colOff>
      <xdr:row>8</xdr:row>
      <xdr:rowOff>85725</xdr:rowOff>
    </xdr:from>
    <xdr:to>
      <xdr:col>14</xdr:col>
      <xdr:colOff>676275</xdr:colOff>
      <xdr:row>17</xdr:row>
      <xdr:rowOff>114300</xdr:rowOff>
    </xdr:to>
    <xdr:graphicFrame macro="">
      <xdr:nvGraphicFramePr>
        <xdr:cNvPr id="7" name="Diagramma 6">
          <a:extLst>
            <a:ext uri="{FF2B5EF4-FFF2-40B4-BE49-F238E27FC236}">
              <a16:creationId xmlns:a16="http://schemas.microsoft.com/office/drawing/2014/main" id="{225F227D-CFBE-39CC-A5A7-ED4C6A4FDA16}"/>
            </a:ext>
            <a:ext uri="{147F2762-F138-4A5C-976F-8EAC2B608ADB}">
              <a16:predDERef xmlns:a16="http://schemas.microsoft.com/office/drawing/2014/main" pred="{47305504-2D4A-4368-965F-A5539C037D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23</xdr:row>
      <xdr:rowOff>85725</xdr:rowOff>
    </xdr:from>
    <xdr:to>
      <xdr:col>14</xdr:col>
      <xdr:colOff>657225</xdr:colOff>
      <xdr:row>32</xdr:row>
      <xdr:rowOff>85725</xdr:rowOff>
    </xdr:to>
    <xdr:graphicFrame macro="">
      <xdr:nvGraphicFramePr>
        <xdr:cNvPr id="8" name="Diagramma 7">
          <a:extLst>
            <a:ext uri="{FF2B5EF4-FFF2-40B4-BE49-F238E27FC236}">
              <a16:creationId xmlns:a16="http://schemas.microsoft.com/office/drawing/2014/main" id="{6D32B6C2-4D1E-8750-6EE2-0FF436479FD7}"/>
            </a:ext>
            <a:ext uri="{147F2762-F138-4A5C-976F-8EAC2B608ADB}">
              <a16:predDERef xmlns:a16="http://schemas.microsoft.com/office/drawing/2014/main" pred="{225F227D-CFBE-39CC-A5A7-ED4C6A4FDA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66675</xdr:colOff>
      <xdr:row>7</xdr:row>
      <xdr:rowOff>142875</xdr:rowOff>
    </xdr:from>
    <xdr:to>
      <xdr:col>38</xdr:col>
      <xdr:colOff>771525</xdr:colOff>
      <xdr:row>17</xdr:row>
      <xdr:rowOff>76200</xdr:rowOff>
    </xdr:to>
    <xdr:graphicFrame macro="">
      <xdr:nvGraphicFramePr>
        <xdr:cNvPr id="9" name="Diagramma 8">
          <a:extLst>
            <a:ext uri="{FF2B5EF4-FFF2-40B4-BE49-F238E27FC236}">
              <a16:creationId xmlns:a16="http://schemas.microsoft.com/office/drawing/2014/main" id="{0F1D33E4-B37A-4E9A-F146-7937115BF99F}"/>
            </a:ext>
            <a:ext uri="{147F2762-F138-4A5C-976F-8EAC2B608ADB}">
              <a16:predDERef xmlns:a16="http://schemas.microsoft.com/office/drawing/2014/main" pred="{6D32B6C2-4D1E-8750-6EE2-0FF436479F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9525</xdr:colOff>
      <xdr:row>23</xdr:row>
      <xdr:rowOff>76200</xdr:rowOff>
    </xdr:from>
    <xdr:to>
      <xdr:col>38</xdr:col>
      <xdr:colOff>781050</xdr:colOff>
      <xdr:row>32</xdr:row>
      <xdr:rowOff>76200</xdr:rowOff>
    </xdr:to>
    <xdr:graphicFrame macro="">
      <xdr:nvGraphicFramePr>
        <xdr:cNvPr id="10" name="Diagramma 9">
          <a:extLst>
            <a:ext uri="{FF2B5EF4-FFF2-40B4-BE49-F238E27FC236}">
              <a16:creationId xmlns:a16="http://schemas.microsoft.com/office/drawing/2014/main" id="{36579B53-1787-059D-8752-DC653789460A}"/>
            </a:ext>
            <a:ext uri="{147F2762-F138-4A5C-976F-8EAC2B608ADB}">
              <a16:predDERef xmlns:a16="http://schemas.microsoft.com/office/drawing/2014/main" pred="{0F1D33E4-B37A-4E9A-F146-7937115BF9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18</xdr:row>
      <xdr:rowOff>228600</xdr:rowOff>
    </xdr:from>
    <xdr:to>
      <xdr:col>9</xdr:col>
      <xdr:colOff>342900</xdr:colOff>
      <xdr:row>31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9DA677-1F02-4F57-A32F-E8E03ED94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214312</xdr:colOff>
      <xdr:row>8</xdr:row>
      <xdr:rowOff>95249</xdr:rowOff>
    </xdr:from>
    <xdr:to>
      <xdr:col>15</xdr:col>
      <xdr:colOff>695325</xdr:colOff>
      <xdr:row>17</xdr:row>
      <xdr:rowOff>104774</xdr:rowOff>
    </xdr:to>
    <xdr:graphicFrame macro="">
      <xdr:nvGraphicFramePr>
        <xdr:cNvPr id="7" name="Diagramma 6">
          <a:extLst>
            <a:ext uri="{FF2B5EF4-FFF2-40B4-BE49-F238E27FC236}">
              <a16:creationId xmlns:a16="http://schemas.microsoft.com/office/drawing/2014/main" id="{58813F04-C374-B6F2-52E8-8CDF8460E382}"/>
            </a:ext>
            <a:ext uri="{147F2762-F138-4A5C-976F-8EAC2B608ADB}">
              <a16:predDERef xmlns:a16="http://schemas.microsoft.com/office/drawing/2014/main" pred="{8C9DA677-1F02-4F57-A32F-E8E03ED94D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23</xdr:row>
      <xdr:rowOff>152400</xdr:rowOff>
    </xdr:from>
    <xdr:to>
      <xdr:col>23</xdr:col>
      <xdr:colOff>38100</xdr:colOff>
      <xdr:row>32</xdr:row>
      <xdr:rowOff>76200</xdr:rowOff>
    </xdr:to>
    <xdr:graphicFrame macro="">
      <xdr:nvGraphicFramePr>
        <xdr:cNvPr id="8" name="Diagramma 7">
          <a:extLst>
            <a:ext uri="{FF2B5EF4-FFF2-40B4-BE49-F238E27FC236}">
              <a16:creationId xmlns:a16="http://schemas.microsoft.com/office/drawing/2014/main" id="{F8553D89-EACF-63F7-8657-89F51353D4EC}"/>
            </a:ext>
            <a:ext uri="{147F2762-F138-4A5C-976F-8EAC2B608ADB}">
              <a16:predDERef xmlns:a16="http://schemas.microsoft.com/office/drawing/2014/main" pred="{58813F04-C374-B6F2-52E8-8CDF8460E3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33</xdr:col>
      <xdr:colOff>85725</xdr:colOff>
      <xdr:row>13</xdr:row>
      <xdr:rowOff>28575</xdr:rowOff>
    </xdr:from>
    <xdr:to>
      <xdr:col>43</xdr:col>
      <xdr:colOff>352425</xdr:colOff>
      <xdr:row>21</xdr:row>
      <xdr:rowOff>66675</xdr:rowOff>
    </xdr:to>
    <xdr:graphicFrame macro="">
      <xdr:nvGraphicFramePr>
        <xdr:cNvPr id="3" name="Diagramma 8">
          <a:extLst>
            <a:ext uri="{FF2B5EF4-FFF2-40B4-BE49-F238E27FC236}">
              <a16:creationId xmlns:a16="http://schemas.microsoft.com/office/drawing/2014/main" id="{F05AE356-A558-C114-4B82-DA58DCE5A002}"/>
            </a:ext>
            <a:ext uri="{147F2762-F138-4A5C-976F-8EAC2B608ADB}">
              <a16:predDERef xmlns:a16="http://schemas.microsoft.com/office/drawing/2014/main" pred="{F8553D89-EACF-63F7-8657-89F51353D4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171450</xdr:colOff>
      <xdr:row>24</xdr:row>
      <xdr:rowOff>19050</xdr:rowOff>
    </xdr:from>
    <xdr:to>
      <xdr:col>40</xdr:col>
      <xdr:colOff>485775</xdr:colOff>
      <xdr:row>32</xdr:row>
      <xdr:rowOff>123825</xdr:rowOff>
    </xdr:to>
    <xdr:graphicFrame macro="">
      <xdr:nvGraphicFramePr>
        <xdr:cNvPr id="6" name="Diagramma 9">
          <a:extLst>
            <a:ext uri="{FF2B5EF4-FFF2-40B4-BE49-F238E27FC236}">
              <a16:creationId xmlns:a16="http://schemas.microsoft.com/office/drawing/2014/main" id="{C3AAE5C3-4C66-FB59-6CFF-54D4FAB878EC}"/>
            </a:ext>
            <a:ext uri="{147F2762-F138-4A5C-976F-8EAC2B608ADB}">
              <a16:predDERef xmlns:a16="http://schemas.microsoft.com/office/drawing/2014/main" pred="{F05AE356-A558-C114-4B82-DA58DCE5A0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18</xdr:row>
      <xdr:rowOff>180975</xdr:rowOff>
    </xdr:from>
    <xdr:to>
      <xdr:col>9</xdr:col>
      <xdr:colOff>238125</xdr:colOff>
      <xdr:row>31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8FC813-1A87-49C8-B3EB-DE88590D7F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52387</xdr:colOff>
      <xdr:row>8</xdr:row>
      <xdr:rowOff>66675</xdr:rowOff>
    </xdr:from>
    <xdr:to>
      <xdr:col>15</xdr:col>
      <xdr:colOff>666750</xdr:colOff>
      <xdr:row>17</xdr:row>
      <xdr:rowOff>114300</xdr:rowOff>
    </xdr:to>
    <xdr:graphicFrame macro="">
      <xdr:nvGraphicFramePr>
        <xdr:cNvPr id="7" name="Diagramma 6">
          <a:extLst>
            <a:ext uri="{FF2B5EF4-FFF2-40B4-BE49-F238E27FC236}">
              <a16:creationId xmlns:a16="http://schemas.microsoft.com/office/drawing/2014/main" id="{3166BC1E-6F30-4E91-0B1F-CD0C18FF7549}"/>
            </a:ext>
            <a:ext uri="{147F2762-F138-4A5C-976F-8EAC2B608ADB}">
              <a16:predDERef xmlns:a16="http://schemas.microsoft.com/office/drawing/2014/main" pred="{DD8FC813-1A87-49C8-B3EB-DE88590D7F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61912</xdr:colOff>
      <xdr:row>23</xdr:row>
      <xdr:rowOff>123825</xdr:rowOff>
    </xdr:from>
    <xdr:to>
      <xdr:col>15</xdr:col>
      <xdr:colOff>676275</xdr:colOff>
      <xdr:row>32</xdr:row>
      <xdr:rowOff>28575</xdr:rowOff>
    </xdr:to>
    <xdr:graphicFrame macro="">
      <xdr:nvGraphicFramePr>
        <xdr:cNvPr id="8" name="Diagramma 7">
          <a:extLst>
            <a:ext uri="{FF2B5EF4-FFF2-40B4-BE49-F238E27FC236}">
              <a16:creationId xmlns:a16="http://schemas.microsoft.com/office/drawing/2014/main" id="{B44D89CD-33DA-2359-584A-41F6022C1AE8}"/>
            </a:ext>
            <a:ext uri="{147F2762-F138-4A5C-976F-8EAC2B608ADB}">
              <a16:predDERef xmlns:a16="http://schemas.microsoft.com/office/drawing/2014/main" pred="{3166BC1E-6F30-4E91-0B1F-CD0C18FF75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29</xdr:col>
      <xdr:colOff>66675</xdr:colOff>
      <xdr:row>7</xdr:row>
      <xdr:rowOff>85725</xdr:rowOff>
    </xdr:from>
    <xdr:to>
      <xdr:col>40</xdr:col>
      <xdr:colOff>504825</xdr:colOff>
      <xdr:row>17</xdr:row>
      <xdr:rowOff>95250</xdr:rowOff>
    </xdr:to>
    <xdr:graphicFrame macro="">
      <xdr:nvGraphicFramePr>
        <xdr:cNvPr id="3" name="Diagramma 8">
          <a:extLst>
            <a:ext uri="{FF2B5EF4-FFF2-40B4-BE49-F238E27FC236}">
              <a16:creationId xmlns:a16="http://schemas.microsoft.com/office/drawing/2014/main" id="{2594C7C8-60F6-8A80-3951-A9AA0E5BDB4C}"/>
            </a:ext>
            <a:ext uri="{147F2762-F138-4A5C-976F-8EAC2B608ADB}">
              <a16:predDERef xmlns:a16="http://schemas.microsoft.com/office/drawing/2014/main" pred="{B44D89CD-33DA-2359-584A-41F6022C1A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161925</xdr:colOff>
      <xdr:row>23</xdr:row>
      <xdr:rowOff>104775</xdr:rowOff>
    </xdr:from>
    <xdr:to>
      <xdr:col>40</xdr:col>
      <xdr:colOff>485775</xdr:colOff>
      <xdr:row>32</xdr:row>
      <xdr:rowOff>9525</xdr:rowOff>
    </xdr:to>
    <xdr:graphicFrame macro="">
      <xdr:nvGraphicFramePr>
        <xdr:cNvPr id="5" name="Diagramma 9">
          <a:extLst>
            <a:ext uri="{FF2B5EF4-FFF2-40B4-BE49-F238E27FC236}">
              <a16:creationId xmlns:a16="http://schemas.microsoft.com/office/drawing/2014/main" id="{37D9DA90-7635-2D5F-2D71-E3E6AC7331E5}"/>
            </a:ext>
            <a:ext uri="{147F2762-F138-4A5C-976F-8EAC2B608ADB}">
              <a16:predDERef xmlns:a16="http://schemas.microsoft.com/office/drawing/2014/main" pred="{2594C7C8-60F6-8A80-3951-A9AA0E5BDB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s://sdw.ecb.europa.eu/curConverter.do?sourceAmount=1.0&amp;sourceCurrency=SEK&amp;targetCurrency=EUR&amp;inputDate=20-07-2023&amp;submitConvert.x=73&amp;submitConvert.y=6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C2111-AAA8-414B-B57F-B9120D993B0F}">
  <dimension ref="A1:AB33"/>
  <sheetViews>
    <sheetView tabSelected="1" workbookViewId="0">
      <pane xSplit="1" topLeftCell="J1" activePane="topRight" state="frozen"/>
      <selection pane="topRight" activeCell="AB7" sqref="AB7"/>
    </sheetView>
  </sheetViews>
  <sheetFormatPr defaultRowHeight="15" outlineLevelRow="1"/>
  <cols>
    <col min="1" max="1" width="26.85546875" customWidth="1"/>
    <col min="2" max="2" width="9.7109375" style="386" bestFit="1" customWidth="1"/>
    <col min="3" max="3" width="9.140625" style="386" bestFit="1" customWidth="1"/>
    <col min="4" max="4" width="8.5703125" style="386" bestFit="1" customWidth="1"/>
    <col min="5" max="5" width="9.140625" style="386" bestFit="1" customWidth="1"/>
    <col min="6" max="6" width="7.28515625" style="386" bestFit="1" customWidth="1"/>
    <col min="7" max="7" width="9.140625" style="386" bestFit="1" customWidth="1"/>
    <col min="8" max="8" width="9.85546875" style="386" customWidth="1"/>
    <col min="9" max="9" width="9.28515625" style="386" bestFit="1" customWidth="1"/>
    <col min="10" max="10" width="9.28515625" style="386" customWidth="1"/>
    <col min="11" max="11" width="8.140625" style="386" bestFit="1" customWidth="1"/>
    <col min="12" max="13" width="9.140625" style="386" bestFit="1" customWidth="1"/>
    <col min="14" max="14" width="7.28515625" style="386" bestFit="1" customWidth="1"/>
    <col min="15" max="17" width="9.140625" style="386" bestFit="1" customWidth="1"/>
    <col min="18" max="18" width="10.85546875" style="386" bestFit="1" customWidth="1"/>
    <col min="19" max="19" width="11.28515625" style="386" bestFit="1" customWidth="1"/>
    <col min="20" max="20" width="9.140625" style="386" bestFit="1" customWidth="1"/>
    <col min="21" max="21" width="9.7109375" style="386" customWidth="1"/>
    <col min="22" max="23" width="9.140625" style="386" bestFit="1" customWidth="1"/>
    <col min="24" max="24" width="8.7109375" style="386" bestFit="1" customWidth="1"/>
    <col min="25" max="25" width="8.7109375" style="386" customWidth="1"/>
    <col min="26" max="26" width="8.140625" style="386" bestFit="1" customWidth="1"/>
    <col min="28" max="28" width="11.5703125" customWidth="1"/>
  </cols>
  <sheetData>
    <row r="1" spans="1:28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385"/>
      <c r="X1" s="385"/>
    </row>
    <row r="2" spans="1:28">
      <c r="A2" s="226"/>
      <c r="B2" s="387" t="str">
        <f>FUR!A1</f>
        <v>FUR</v>
      </c>
      <c r="C2" s="387" t="str">
        <f>'MUN2'!A1</f>
        <v>MUN2</v>
      </c>
      <c r="D2" s="387" t="str">
        <f>SAR!A1</f>
        <v>SAR</v>
      </c>
      <c r="E2" s="387" t="str">
        <f>'SAR2'!A1</f>
        <v>SAR2</v>
      </c>
      <c r="F2" s="387" t="str">
        <f>SW!A1</f>
        <v>SW</v>
      </c>
      <c r="G2" s="387" t="str">
        <f>ANT!A1</f>
        <v>ANT</v>
      </c>
      <c r="H2" s="387" t="str">
        <f>OFF!A1</f>
        <v>OFF</v>
      </c>
      <c r="I2" s="388" t="str">
        <f>BER!A1</f>
        <v>BER</v>
      </c>
      <c r="J2" s="389" t="str">
        <f>MAL!A1</f>
        <v>MAL</v>
      </c>
      <c r="K2" s="389" t="s">
        <v>1</v>
      </c>
      <c r="L2" s="388" t="str">
        <f>NEU!A1</f>
        <v>NEU</v>
      </c>
      <c r="M2" s="388" t="str">
        <f>ARN!A1</f>
        <v>ARN</v>
      </c>
      <c r="N2" s="388" t="str">
        <f>MEM!A1</f>
        <v>MEM</v>
      </c>
      <c r="O2" s="388" t="str">
        <f>HAL!A1</f>
        <v>HAL</v>
      </c>
      <c r="P2" s="388" t="str">
        <f>OLD!A1</f>
        <v>OLD</v>
      </c>
      <c r="Q2" s="388" t="str">
        <f>DOR!A1</f>
        <v>DOR</v>
      </c>
      <c r="R2" s="388" t="str">
        <f>FAL!A1</f>
        <v>FAL</v>
      </c>
      <c r="S2" s="388" t="str">
        <f>AUH!A1</f>
        <v>AUH</v>
      </c>
      <c r="T2" s="388" t="str">
        <f>BOCH!A1</f>
        <v>BOCH</v>
      </c>
      <c r="U2" s="392" t="str">
        <f>'BER2'!A1</f>
        <v>BER2</v>
      </c>
      <c r="V2" s="388" t="str">
        <f>SIE!A1</f>
        <v>SIE</v>
      </c>
      <c r="W2" s="388" t="str">
        <f>AMB!A1</f>
        <v>AMB</v>
      </c>
      <c r="X2" s="388" t="str">
        <f>CHA!A1</f>
        <v>CHA</v>
      </c>
      <c r="Y2" s="388" t="str">
        <f>'TAL2'!A1</f>
        <v>TAL2</v>
      </c>
      <c r="Z2" s="388" t="str">
        <f>SIEC!A1</f>
        <v>SIEC</v>
      </c>
      <c r="AA2" s="388" t="str">
        <f>'FAL (2)'!A1</f>
        <v>FAL2</v>
      </c>
    </row>
    <row r="3" spans="1:28">
      <c r="A3" s="171" t="s">
        <v>2</v>
      </c>
      <c r="B3" s="387">
        <f>FUR!AA10</f>
        <v>162000</v>
      </c>
      <c r="C3" s="387">
        <f>'MUN2'!AA10</f>
        <v>175887.1</v>
      </c>
      <c r="D3" s="387">
        <f>SAR!Y10</f>
        <v>64000</v>
      </c>
      <c r="E3" s="390">
        <f>'SAR2'!Y10</f>
        <v>22136.760000000002</v>
      </c>
      <c r="F3" s="390">
        <f>SW!Y10</f>
        <v>5650</v>
      </c>
      <c r="G3" s="387">
        <f>ANT!AA10</f>
        <v>55889.96</v>
      </c>
      <c r="H3" s="390">
        <f>OFF!AC10</f>
        <v>158000</v>
      </c>
      <c r="I3" s="388">
        <f>BER!Y10</f>
        <v>75388.429999999993</v>
      </c>
      <c r="J3" s="389">
        <f>MAL!Y10</f>
        <v>71337.13</v>
      </c>
      <c r="K3" s="389">
        <f>TAL!Y10</f>
        <v>16500</v>
      </c>
      <c r="L3" s="388">
        <f>NEU!AA10</f>
        <v>71273.73000000001</v>
      </c>
      <c r="M3" s="388">
        <f>ARN!Y10</f>
        <v>60000</v>
      </c>
      <c r="N3" s="388">
        <f>MEM!Y10</f>
        <v>7000</v>
      </c>
      <c r="O3" s="388">
        <f>HAL!Y10</f>
        <v>63000</v>
      </c>
      <c r="P3" s="388">
        <f>OLD!AA10</f>
        <v>38521.980000000003</v>
      </c>
      <c r="Q3" s="388">
        <f>DOR!AA10</f>
        <v>75736.12</v>
      </c>
      <c r="R3" s="391">
        <f>FAL!AA10</f>
        <v>75100.2</v>
      </c>
      <c r="S3" s="388">
        <f>AUH!Y10</f>
        <v>86000</v>
      </c>
      <c r="T3" s="392">
        <f>BOCH!Y10</f>
        <v>225634</v>
      </c>
      <c r="U3" s="392">
        <f>'BER2'!Y10</f>
        <v>405955.87</v>
      </c>
      <c r="V3" s="388">
        <f>SIE!Y10</f>
        <v>14005.39</v>
      </c>
      <c r="W3" s="388">
        <f>AMB!Y10</f>
        <v>70300.13</v>
      </c>
      <c r="X3" s="388">
        <f>CHA!AA10</f>
        <v>67542.600000000006</v>
      </c>
      <c r="Y3" s="388">
        <f>'TAL2'!Y10</f>
        <v>94138.97</v>
      </c>
      <c r="Z3" s="388">
        <f>SIEC!Y10</f>
        <v>79000</v>
      </c>
      <c r="AA3" s="391">
        <f>'FAL (2)'!AA10</f>
        <v>18614.599999999999</v>
      </c>
    </row>
    <row r="4" spans="1:28">
      <c r="A4" s="171" t="s">
        <v>3</v>
      </c>
      <c r="B4" s="387">
        <f>FUR!AA11</f>
        <v>6555</v>
      </c>
      <c r="C4" s="387"/>
      <c r="D4" s="387">
        <f>SAR!Y11</f>
        <v>17621.739999999998</v>
      </c>
      <c r="E4" s="387">
        <f>'SAR2'!Y11</f>
        <v>8413.0499999999993</v>
      </c>
      <c r="F4" s="387">
        <f>SW!Y11</f>
        <v>0</v>
      </c>
      <c r="G4" s="387">
        <f>ANT!AA11</f>
        <v>0</v>
      </c>
      <c r="H4" s="387">
        <f>OFF!AC11</f>
        <v>24166.3</v>
      </c>
      <c r="I4" s="388">
        <f>BER!Y11</f>
        <v>11625</v>
      </c>
      <c r="J4" s="389">
        <f>MAL!Y11</f>
        <v>4528.76</v>
      </c>
      <c r="K4" s="389">
        <f>TAL!Y11</f>
        <v>0</v>
      </c>
      <c r="L4" s="391">
        <f>NEU!AA11</f>
        <v>800</v>
      </c>
      <c r="M4" s="388">
        <f>ARN!Y11</f>
        <v>5603.51</v>
      </c>
      <c r="N4" s="388">
        <f>MEM!Y11</f>
        <v>0</v>
      </c>
      <c r="O4" s="388">
        <f>HAL!Y11</f>
        <v>10297.39</v>
      </c>
      <c r="P4" s="388">
        <f>OLD!AA11</f>
        <v>2431.44</v>
      </c>
      <c r="Q4" s="388">
        <f>DOR!AA11</f>
        <v>5069.3999999999996</v>
      </c>
      <c r="R4" s="388">
        <f>FAL!AA11</f>
        <v>5153.4700000000012</v>
      </c>
      <c r="S4" s="388">
        <f>AUH!Y11</f>
        <v>1600</v>
      </c>
      <c r="T4" s="392">
        <f>BOCH!Y11</f>
        <v>25481.18</v>
      </c>
      <c r="U4" s="392">
        <f>'BER2'!Y11</f>
        <v>1600</v>
      </c>
      <c r="V4" s="392"/>
      <c r="W4" s="388">
        <f>AMB!Y11</f>
        <v>0</v>
      </c>
      <c r="X4" s="388">
        <f>CHA!AA11</f>
        <v>18742.599999999999</v>
      </c>
      <c r="Y4" s="392">
        <f>'TAL2'!Y11</f>
        <v>26296.98</v>
      </c>
      <c r="Z4" s="491">
        <f>SIEC!Y11</f>
        <v>3261.75</v>
      </c>
      <c r="AA4" s="491">
        <f>'FAL (2)'!AA11</f>
        <v>0</v>
      </c>
    </row>
    <row r="5" spans="1:28">
      <c r="A5" s="226" t="s">
        <v>4</v>
      </c>
      <c r="B5" s="387">
        <f>B3+B4</f>
        <v>168555</v>
      </c>
      <c r="C5" s="387">
        <f t="shared" ref="C5:W5" si="0">C3+C4</f>
        <v>175887.1</v>
      </c>
      <c r="D5" s="387">
        <f t="shared" si="0"/>
        <v>81621.739999999991</v>
      </c>
      <c r="E5" s="387">
        <f t="shared" si="0"/>
        <v>30549.81</v>
      </c>
      <c r="F5" s="387">
        <f t="shared" si="0"/>
        <v>5650</v>
      </c>
      <c r="G5" s="387">
        <f t="shared" si="0"/>
        <v>55889.96</v>
      </c>
      <c r="H5" s="387">
        <f t="shared" si="0"/>
        <v>182166.3</v>
      </c>
      <c r="I5" s="388">
        <f t="shared" si="0"/>
        <v>87013.43</v>
      </c>
      <c r="J5" s="389">
        <f t="shared" si="0"/>
        <v>75865.89</v>
      </c>
      <c r="K5" s="389">
        <f t="shared" si="0"/>
        <v>16500</v>
      </c>
      <c r="L5" s="388">
        <f t="shared" si="0"/>
        <v>72073.73000000001</v>
      </c>
      <c r="M5" s="388">
        <f t="shared" si="0"/>
        <v>65603.509999999995</v>
      </c>
      <c r="N5" s="388">
        <f t="shared" si="0"/>
        <v>7000</v>
      </c>
      <c r="O5" s="388">
        <f t="shared" si="0"/>
        <v>73297.39</v>
      </c>
      <c r="P5" s="388">
        <f t="shared" si="0"/>
        <v>40953.420000000006</v>
      </c>
      <c r="Q5" s="388">
        <f t="shared" si="0"/>
        <v>80805.51999999999</v>
      </c>
      <c r="R5" s="388">
        <f t="shared" si="0"/>
        <v>80253.67</v>
      </c>
      <c r="S5" s="388">
        <f t="shared" si="0"/>
        <v>87600</v>
      </c>
      <c r="T5" s="388">
        <f t="shared" si="0"/>
        <v>251115.18</v>
      </c>
      <c r="U5" s="392">
        <f t="shared" si="0"/>
        <v>407555.87</v>
      </c>
      <c r="V5" s="388">
        <f t="shared" si="0"/>
        <v>14005.39</v>
      </c>
      <c r="W5" s="388">
        <f t="shared" si="0"/>
        <v>70300.13</v>
      </c>
      <c r="X5" s="388">
        <f>X4+X3</f>
        <v>86285.200000000012</v>
      </c>
      <c r="Y5" s="388">
        <f>Y4+Y3</f>
        <v>120435.95</v>
      </c>
      <c r="Z5" s="388">
        <f>Z4+Z3</f>
        <v>82261.75</v>
      </c>
      <c r="AA5" s="388">
        <f>AA4+AA3</f>
        <v>18614.599999999999</v>
      </c>
      <c r="AB5" s="1"/>
    </row>
    <row r="6" spans="1:28" ht="30.75" customHeight="1">
      <c r="A6" s="226" t="s">
        <v>5</v>
      </c>
      <c r="B6" s="432" t="s">
        <v>6</v>
      </c>
      <c r="C6" s="393" t="s">
        <v>7</v>
      </c>
      <c r="D6" s="393" t="s">
        <v>8</v>
      </c>
      <c r="E6" s="393" t="s">
        <v>8</v>
      </c>
      <c r="F6" s="393" t="s">
        <v>7</v>
      </c>
      <c r="G6" s="393" t="s">
        <v>9</v>
      </c>
      <c r="H6" s="393" t="s">
        <v>8</v>
      </c>
      <c r="I6" s="394" t="s">
        <v>7</v>
      </c>
      <c r="J6" s="395" t="s">
        <v>10</v>
      </c>
      <c r="K6" s="396" t="s">
        <v>8</v>
      </c>
      <c r="L6" s="397" t="s">
        <v>11</v>
      </c>
      <c r="M6" s="397" t="s">
        <v>7</v>
      </c>
      <c r="N6" s="397" t="s">
        <v>11</v>
      </c>
      <c r="O6" s="397" t="s">
        <v>12</v>
      </c>
      <c r="P6" s="397" t="s">
        <v>7</v>
      </c>
      <c r="Q6" s="397" t="s">
        <v>7</v>
      </c>
      <c r="R6" s="431" t="s">
        <v>13</v>
      </c>
      <c r="S6" s="461" t="s">
        <v>14</v>
      </c>
      <c r="T6" s="397" t="s">
        <v>15</v>
      </c>
      <c r="U6" s="501" t="s">
        <v>16</v>
      </c>
      <c r="V6" s="397" t="s">
        <v>12</v>
      </c>
      <c r="W6" s="397" t="s">
        <v>12</v>
      </c>
      <c r="X6" s="477" t="s">
        <v>17</v>
      </c>
      <c r="Y6" s="477" t="s">
        <v>18</v>
      </c>
      <c r="Z6" s="397" t="s">
        <v>12</v>
      </c>
      <c r="AA6" s="397" t="s">
        <v>17</v>
      </c>
      <c r="AB6" s="1"/>
    </row>
    <row r="7" spans="1:28">
      <c r="A7" s="171"/>
      <c r="B7" s="400"/>
      <c r="C7" s="400"/>
      <c r="D7" s="400"/>
      <c r="E7" s="400"/>
      <c r="F7" s="400"/>
      <c r="G7" s="400"/>
      <c r="H7" s="400"/>
      <c r="I7" s="397"/>
      <c r="J7" s="396"/>
      <c r="K7" s="396"/>
      <c r="L7" s="397"/>
      <c r="M7" s="397"/>
      <c r="N7" s="397"/>
      <c r="O7" s="397"/>
      <c r="P7" s="397"/>
      <c r="Q7" s="397"/>
      <c r="R7" s="397"/>
      <c r="S7" s="397"/>
      <c r="T7" s="397"/>
      <c r="U7" s="501"/>
      <c r="V7" s="397"/>
      <c r="W7" s="397"/>
      <c r="X7" s="397"/>
      <c r="Y7" s="397"/>
      <c r="Z7" s="397"/>
      <c r="AA7" s="397"/>
      <c r="AB7" s="1"/>
    </row>
    <row r="8" spans="1:28">
      <c r="A8" s="226" t="s">
        <v>19</v>
      </c>
      <c r="B8" s="401">
        <f>FUR!AO6</f>
        <v>1698</v>
      </c>
      <c r="C8" s="401">
        <f>'MUN2'!AO6</f>
        <v>1206</v>
      </c>
      <c r="D8" s="401">
        <f>SAR!AM6</f>
        <v>708</v>
      </c>
      <c r="E8" s="401">
        <f>'SAR2'!AB6</f>
        <v>313</v>
      </c>
      <c r="F8" s="393"/>
      <c r="G8" s="401">
        <f>ANT!AO6</f>
        <v>711.85</v>
      </c>
      <c r="H8" s="401" t="str">
        <f>OFF!AQ6</f>
        <v>1681</v>
      </c>
      <c r="I8" s="402">
        <f>BER!AM6</f>
        <v>478</v>
      </c>
      <c r="J8" s="403">
        <f>MAL!AM6</f>
        <v>900.82</v>
      </c>
      <c r="K8" s="404">
        <f>TAL!AM6</f>
        <v>0</v>
      </c>
      <c r="L8" s="405">
        <f>NEU!AO6</f>
        <v>695</v>
      </c>
      <c r="M8" s="405">
        <f>ARN!AM6</f>
        <v>543</v>
      </c>
      <c r="N8" s="405">
        <f>MEM!AM6</f>
        <v>0</v>
      </c>
      <c r="O8" s="405">
        <f>HAL!AM6</f>
        <v>996</v>
      </c>
      <c r="P8" s="405">
        <f>OLD!AO6</f>
        <v>466</v>
      </c>
      <c r="Q8" s="405">
        <f>DOR!AO6</f>
        <v>966</v>
      </c>
      <c r="R8" s="405">
        <f>FAL!AO6</f>
        <v>801</v>
      </c>
      <c r="S8" s="405">
        <f>AUH!AM6</f>
        <v>1010</v>
      </c>
      <c r="T8" s="405">
        <f>BOCH!AM6</f>
        <v>0</v>
      </c>
      <c r="U8" s="502">
        <f>'BER2'!AM6</f>
        <v>2881</v>
      </c>
      <c r="V8" s="405">
        <f>SIE!AM6</f>
        <v>0</v>
      </c>
      <c r="W8" s="405">
        <f>AMB!AM6</f>
        <v>192</v>
      </c>
      <c r="X8" s="405">
        <f>CHA!AO6</f>
        <v>875</v>
      </c>
      <c r="Y8" s="405">
        <f>'TAL2'!AM6</f>
        <v>1217</v>
      </c>
      <c r="Z8" s="405">
        <f>SIEC!AM6</f>
        <v>1019.94</v>
      </c>
      <c r="AA8" s="405">
        <f>'FAL (2)'!AO6</f>
        <v>0</v>
      </c>
      <c r="AB8" s="1"/>
    </row>
    <row r="9" spans="1:28">
      <c r="A9" s="226" t="s">
        <v>20</v>
      </c>
      <c r="B9" s="393">
        <f>FUR!AO7</f>
        <v>2232</v>
      </c>
      <c r="C9" s="393">
        <f>'MUN2'!AO7</f>
        <v>1445</v>
      </c>
      <c r="D9" s="401">
        <f>SAR!AM7</f>
        <v>1117</v>
      </c>
      <c r="E9" s="393">
        <f>'SAR2'!AB7</f>
        <v>377.5</v>
      </c>
      <c r="F9" s="393">
        <f>SW!AM7</f>
        <v>0</v>
      </c>
      <c r="G9" s="393">
        <f>ANT!AO7</f>
        <v>902.5</v>
      </c>
      <c r="H9" s="393">
        <f>OFF!AQ7</f>
        <v>1735</v>
      </c>
      <c r="I9" s="394">
        <f>TAL!AM7</f>
        <v>191.5</v>
      </c>
      <c r="J9" s="403">
        <f>'27'!AM7</f>
        <v>0</v>
      </c>
      <c r="K9" s="396">
        <f>NEU!AO7</f>
        <v>701</v>
      </c>
      <c r="L9" s="397">
        <f>NEU!AO7</f>
        <v>701</v>
      </c>
      <c r="M9" s="397">
        <f>ARN!AM7</f>
        <v>552</v>
      </c>
      <c r="N9" s="397">
        <f>MEM!AM7</f>
        <v>126</v>
      </c>
      <c r="O9" s="397">
        <f>HAL!AM7</f>
        <v>929.7</v>
      </c>
      <c r="P9" s="397">
        <f>OLD!AO7</f>
        <v>592</v>
      </c>
      <c r="Q9" s="405">
        <f>DOR!AO7</f>
        <v>833</v>
      </c>
      <c r="R9" s="397">
        <f>FAL!AO7</f>
        <v>989</v>
      </c>
      <c r="S9" s="397">
        <f>AUH!AM7</f>
        <v>940</v>
      </c>
      <c r="T9" s="405">
        <f>BOCH!AM7</f>
        <v>0</v>
      </c>
      <c r="U9" s="501">
        <f>'BER2'!AM7</f>
        <v>2881.2899999999995</v>
      </c>
      <c r="V9" s="397">
        <f>SIE!AM7</f>
        <v>143.69999999999999</v>
      </c>
      <c r="W9" s="405">
        <f>AMB!AM7</f>
        <v>396.28999999999996</v>
      </c>
      <c r="X9" s="405">
        <f>CHA!AO7</f>
        <v>1599.5800000000002</v>
      </c>
      <c r="Y9" s="405">
        <f>'TAL2'!AM7</f>
        <v>1518.8200000000002</v>
      </c>
      <c r="Z9" s="405">
        <f>SIEC!AM7</f>
        <v>682.81100000000004</v>
      </c>
      <c r="AA9" s="405">
        <f>'FAL (2)'!AO7</f>
        <v>272.99</v>
      </c>
      <c r="AB9" s="1"/>
    </row>
    <row r="10" spans="1:28">
      <c r="A10" s="226" t="s">
        <v>21</v>
      </c>
      <c r="B10" s="409">
        <f t="shared" ref="B10:P10" si="1">B8-B9</f>
        <v>-534</v>
      </c>
      <c r="C10" s="409">
        <f t="shared" si="1"/>
        <v>-239</v>
      </c>
      <c r="D10" s="409">
        <f t="shared" si="1"/>
        <v>-409</v>
      </c>
      <c r="E10" s="409">
        <f t="shared" si="1"/>
        <v>-64.5</v>
      </c>
      <c r="F10" s="409"/>
      <c r="G10" s="409">
        <f t="shared" si="1"/>
        <v>-190.64999999999998</v>
      </c>
      <c r="H10" s="409">
        <f t="shared" si="1"/>
        <v>-54</v>
      </c>
      <c r="I10" s="410">
        <f t="shared" si="1"/>
        <v>286.5</v>
      </c>
      <c r="J10" s="409">
        <f t="shared" si="1"/>
        <v>900.82</v>
      </c>
      <c r="K10" s="409">
        <f t="shared" si="1"/>
        <v>-701</v>
      </c>
      <c r="L10" s="410">
        <f t="shared" si="1"/>
        <v>-6</v>
      </c>
      <c r="M10" s="410">
        <f t="shared" si="1"/>
        <v>-9</v>
      </c>
      <c r="N10" s="410">
        <f t="shared" si="1"/>
        <v>-126</v>
      </c>
      <c r="O10" s="410">
        <f t="shared" si="1"/>
        <v>66.299999999999955</v>
      </c>
      <c r="P10" s="410">
        <f t="shared" si="1"/>
        <v>-126</v>
      </c>
      <c r="Q10" s="410">
        <f>Q8-Q9</f>
        <v>133</v>
      </c>
      <c r="R10" s="410">
        <f t="shared" ref="R10:S10" si="2">R8-R9</f>
        <v>-188</v>
      </c>
      <c r="S10" s="410">
        <f t="shared" si="2"/>
        <v>70</v>
      </c>
      <c r="T10" s="410">
        <f>T8-T9</f>
        <v>0</v>
      </c>
      <c r="U10" s="410">
        <f>U8-U9</f>
        <v>-0.28999999999950887</v>
      </c>
      <c r="V10" s="411">
        <f>V8-V9</f>
        <v>-143.69999999999999</v>
      </c>
      <c r="W10" s="411">
        <f t="shared" ref="W10:Z10" si="3">W8-W9</f>
        <v>-204.28999999999996</v>
      </c>
      <c r="X10" s="411">
        <f t="shared" si="3"/>
        <v>-724.58000000000015</v>
      </c>
      <c r="Y10" s="411">
        <f t="shared" si="3"/>
        <v>-301.82000000000016</v>
      </c>
      <c r="Z10" s="411">
        <f t="shared" si="3"/>
        <v>337.12900000000002</v>
      </c>
      <c r="AA10" s="411">
        <f t="shared" ref="AA10" si="4">AA8-AA9</f>
        <v>-272.99</v>
      </c>
      <c r="AB10" s="1"/>
    </row>
    <row r="11" spans="1:28">
      <c r="B11" s="454">
        <f>FUR!I12</f>
        <v>11798.850000000002</v>
      </c>
      <c r="C11" s="454">
        <f>'MUN2'!I12</f>
        <v>13227.449200000001</v>
      </c>
      <c r="D11" s="454">
        <f>SAR!G12</f>
        <v>5713.5217999999995</v>
      </c>
      <c r="E11" s="454">
        <f>'SAR2'!G12</f>
        <v>2138.4867000000004</v>
      </c>
      <c r="F11" s="454">
        <f>SW!C12</f>
        <v>395.50000000000006</v>
      </c>
      <c r="G11" s="454">
        <f>ANT!I12</f>
        <v>3912.2972000000009</v>
      </c>
      <c r="H11" s="454">
        <f>OFF!K12</f>
        <v>12751.641000000001</v>
      </c>
      <c r="I11" s="496">
        <f>BER!G12</f>
        <v>6090.9400999999998</v>
      </c>
      <c r="J11" s="513">
        <f>MAL!G12</f>
        <v>5627.6255000000001</v>
      </c>
      <c r="K11" s="513">
        <f>TAL!G12</f>
        <v>1155</v>
      </c>
      <c r="L11" s="496">
        <f>NEU!I12</f>
        <v>4989.1611000000012</v>
      </c>
      <c r="M11" s="496">
        <f>ARN!G12</f>
        <v>4200</v>
      </c>
      <c r="N11" s="496">
        <f>MEM!G12</f>
        <v>490.00000000000006</v>
      </c>
      <c r="O11" s="496">
        <f>HAL!G12</f>
        <v>5851.6345999999994</v>
      </c>
      <c r="P11" s="496">
        <f>OLD!I12</f>
        <v>2866.7394000000008</v>
      </c>
      <c r="Q11" s="496">
        <f>DOR!I12</f>
        <v>5656.3863999999994</v>
      </c>
      <c r="R11" s="496">
        <f>FAL!I12</f>
        <v>5617.7569000000003</v>
      </c>
      <c r="S11" s="496">
        <f>AUH!G12</f>
        <v>6132</v>
      </c>
      <c r="T11" s="496">
        <f>BOCH!G12</f>
        <v>17578.062600000001</v>
      </c>
      <c r="U11" s="514">
        <f>'BER2'!G12</f>
        <v>28491.577566666667</v>
      </c>
      <c r="V11" s="496">
        <f>SIE!G12</f>
        <v>980.3773000000001</v>
      </c>
      <c r="W11" s="496">
        <f>AMB!G12</f>
        <v>4921.0091000000011</v>
      </c>
      <c r="X11" s="496">
        <f>CHA!I12</f>
        <v>6039.9640000000018</v>
      </c>
      <c r="Y11" s="496">
        <f>'TAL2'!G12</f>
        <v>8430.5164999999997</v>
      </c>
      <c r="Z11" s="496">
        <f>SIEC!G12</f>
        <v>5758.3225000000002</v>
      </c>
      <c r="AA11" s="496">
        <f>'FAL (2)'!I12</f>
        <v>1303.0219999999999</v>
      </c>
      <c r="AB11" s="1">
        <f t="shared" ref="AB11:AB12" si="5">SUM(B11:AA11)</f>
        <v>172117.84146666669</v>
      </c>
    </row>
    <row r="12" spans="1:28">
      <c r="A12" s="443" t="s">
        <v>22</v>
      </c>
      <c r="B12" s="478">
        <f>FUR!J18</f>
        <v>0.33267714490281658</v>
      </c>
      <c r="C12" s="478">
        <f>'MUN2'!J18</f>
        <v>0.39103870828957704</v>
      </c>
      <c r="D12" s="478">
        <f>SAR!H18</f>
        <v>0.13518559921133896</v>
      </c>
      <c r="E12" s="478">
        <f>'SAR2'!H17</f>
        <v>0.52116227902897172</v>
      </c>
      <c r="F12" s="478">
        <f>SW!H17</f>
        <v>-3.0043180042477809E-2</v>
      </c>
      <c r="G12" s="478">
        <f>ANT!J18</f>
        <v>0.421939761822338</v>
      </c>
      <c r="H12" s="478">
        <f>OFF!L17</f>
        <v>0.26579842889628802</v>
      </c>
      <c r="I12" s="479">
        <f>BER!H17</f>
        <v>0.47628972883312387</v>
      </c>
      <c r="J12" s="480">
        <f>MAL!H18</f>
        <v>0.38044981413770002</v>
      </c>
      <c r="K12" s="480">
        <f>NEU!J18</f>
        <v>0.28825445714623255</v>
      </c>
      <c r="L12" s="479">
        <f>NEU!J18</f>
        <v>0.28825445714623255</v>
      </c>
      <c r="M12" s="479">
        <f>ARN!H18</f>
        <v>0.31821468428503275</v>
      </c>
      <c r="N12" s="479">
        <f>MEM!H18</f>
        <v>-0.27870181310285702</v>
      </c>
      <c r="O12" s="479">
        <f>HAL!H18</f>
        <v>0.15042344488228038</v>
      </c>
      <c r="P12" s="479">
        <f>OLD!J17</f>
        <v>0.10898886633643791</v>
      </c>
      <c r="Q12" s="481">
        <f>DOR!J17</f>
        <v>0.4661979710643529</v>
      </c>
      <c r="R12" s="482">
        <f>FAL!J17</f>
        <v>0.35928719378577761</v>
      </c>
      <c r="S12" s="482">
        <f>AUH!H17</f>
        <v>0.30575780565092747</v>
      </c>
      <c r="T12" s="482">
        <f>BOCH!H18</f>
        <v>0.11103522669334447</v>
      </c>
      <c r="U12" s="503">
        <f>'BER2'!H17</f>
        <v>0.31451082653932622</v>
      </c>
      <c r="V12" s="482">
        <f>SIE!H17</f>
        <v>0.27540368630330075</v>
      </c>
      <c r="W12" s="482">
        <f>AMB!H17</f>
        <v>0.45402221122966552</v>
      </c>
      <c r="X12" s="482">
        <f>CHA!J17</f>
        <v>6.2170191441358262E-2</v>
      </c>
      <c r="Y12" s="482">
        <f>'TAL2'!H17</f>
        <v>0.10679868522059069</v>
      </c>
      <c r="Z12" s="482">
        <f>SIEC!H17</f>
        <v>0.35067917311104491</v>
      </c>
      <c r="AA12" s="482">
        <f>'FAL (2)'!J17</f>
        <v>0.32568977521588416</v>
      </c>
      <c r="AB12" s="1"/>
    </row>
    <row r="13" spans="1:28">
      <c r="A13" s="226" t="s">
        <v>23</v>
      </c>
      <c r="B13" s="426">
        <f>FUR!I18</f>
        <v>56074.396159094249</v>
      </c>
      <c r="C13" s="426">
        <f>'MUN2'!I18</f>
        <v>73892.066416199988</v>
      </c>
      <c r="D13" s="426">
        <f>SAR!G18</f>
        <v>11034.083830572112</v>
      </c>
      <c r="E13" s="426">
        <f>'SAR2'!G17</f>
        <v>15921.40860350207</v>
      </c>
      <c r="F13" s="426">
        <f>SW!C17</f>
        <v>-169.74396723999962</v>
      </c>
      <c r="G13" s="426">
        <f>ANT!I18</f>
        <v>23582.196410659999</v>
      </c>
      <c r="H13" s="426">
        <f>OFF!K17</f>
        <v>48419.516337849869</v>
      </c>
      <c r="I13" s="424">
        <f>BER!G17</f>
        <v>41443.602979540003</v>
      </c>
      <c r="J13" s="408">
        <f>MAL!G18</f>
        <v>28863.163749891195</v>
      </c>
      <c r="K13" s="408">
        <f>TAL!G17</f>
        <v>5689.6589723399993</v>
      </c>
      <c r="L13" s="424">
        <f>NEU!I18</f>
        <v>20544.970349937154</v>
      </c>
      <c r="M13" s="424">
        <f>ARN!G18</f>
        <v>20876.000222639988</v>
      </c>
      <c r="N13" s="424">
        <f>MEM!G18</f>
        <v>-1950.9126917199992</v>
      </c>
      <c r="O13" s="424">
        <f>HAL!G18</f>
        <v>11025.645904680008</v>
      </c>
      <c r="P13" s="424">
        <f>OLD!I17</f>
        <v>4463.4668184000038</v>
      </c>
      <c r="Q13" s="424">
        <f>DOR!I17</f>
        <v>37671.369474799983</v>
      </c>
      <c r="R13" s="424">
        <f>FAL!I17</f>
        <v>28834.115885309846</v>
      </c>
      <c r="S13" s="424">
        <f>AUH!G17</f>
        <v>26784.383775021248</v>
      </c>
      <c r="T13" s="424">
        <f>BOCH!G18</f>
        <v>27882.630937440001</v>
      </c>
      <c r="U13" s="504">
        <f>'BER2'!G17</f>
        <v>128180.73353465419</v>
      </c>
      <c r="V13" s="424">
        <f>SIE!G17</f>
        <v>3857.136034115385</v>
      </c>
      <c r="W13" s="424">
        <f>AMB!G17</f>
        <v>31917.820472332947</v>
      </c>
      <c r="X13" s="424">
        <f>CHA!I17</f>
        <v>5364.3674025558867</v>
      </c>
      <c r="Y13" s="424">
        <f>'TAL2'!G17</f>
        <v>12862.401113292799</v>
      </c>
      <c r="Z13" s="424">
        <f>SIEC!G17</f>
        <v>28847.482468667498</v>
      </c>
      <c r="AA13" s="424">
        <f>'FAL (2)'!I17</f>
        <v>6062.5848897335964</v>
      </c>
      <c r="AB13" s="1">
        <f>SUM(B13:AA13)</f>
        <v>697974.54608427</v>
      </c>
    </row>
    <row r="14" spans="1:28" hidden="1" outlineLevel="1">
      <c r="A14" s="227" t="s">
        <v>24</v>
      </c>
      <c r="B14" s="483">
        <f>B15-B16</f>
        <v>56074.396159094264</v>
      </c>
      <c r="C14" s="483">
        <f t="shared" ref="C14:Y14" si="6">C15-C16</f>
        <v>60815.606416199997</v>
      </c>
      <c r="D14" s="483">
        <f t="shared" si="6"/>
        <v>7489.0838305721118</v>
      </c>
      <c r="E14" s="483">
        <f t="shared" si="6"/>
        <v>15921.40860350207</v>
      </c>
      <c r="F14" s="483">
        <f t="shared" si="6"/>
        <v>-169.74396723999962</v>
      </c>
      <c r="G14" s="483">
        <f t="shared" si="6"/>
        <v>23582.196410659999</v>
      </c>
      <c r="H14" s="483">
        <f t="shared" si="6"/>
        <v>26694.386337849865</v>
      </c>
      <c r="I14" s="484">
        <f t="shared" si="6"/>
        <v>41443.602979540003</v>
      </c>
      <c r="J14" s="485">
        <f t="shared" si="6"/>
        <v>28863.163749891195</v>
      </c>
      <c r="K14" s="485">
        <f t="shared" si="6"/>
        <v>5689.6589723399993</v>
      </c>
      <c r="L14" s="484">
        <f t="shared" si="6"/>
        <v>42899.284650062858</v>
      </c>
      <c r="M14" s="484">
        <f t="shared" si="6"/>
        <v>20876.000222639988</v>
      </c>
      <c r="N14" s="484">
        <f t="shared" si="6"/>
        <v>-1950.9126917199992</v>
      </c>
      <c r="O14" s="484">
        <f t="shared" si="6"/>
        <v>11025.645904680008</v>
      </c>
      <c r="P14" s="484">
        <f t="shared" si="6"/>
        <v>2135.926818400003</v>
      </c>
      <c r="Q14" s="486">
        <f t="shared" si="6"/>
        <v>33822.319474799981</v>
      </c>
      <c r="R14" s="484">
        <f>FAL!I17</f>
        <v>28834.115885309846</v>
      </c>
      <c r="S14" s="484">
        <f>AUH!G17</f>
        <v>26784.383775021248</v>
      </c>
      <c r="T14" s="487">
        <f t="shared" si="6"/>
        <v>-20208.329062559991</v>
      </c>
      <c r="U14" s="488">
        <f t="shared" si="6"/>
        <v>235187.84353465421</v>
      </c>
      <c r="V14" s="489">
        <f t="shared" si="6"/>
        <v>3857.136034115385</v>
      </c>
      <c r="W14" s="490">
        <f t="shared" si="6"/>
        <v>31917.820472332947</v>
      </c>
      <c r="X14" s="490">
        <f t="shared" si="6"/>
        <v>5458.5074025558861</v>
      </c>
      <c r="Y14" s="489">
        <f t="shared" si="6"/>
        <v>60648.6911132928</v>
      </c>
      <c r="Z14" s="490">
        <f t="shared" ref="Z14:AA14" si="7">Z15-Z16</f>
        <v>29798.672468667501</v>
      </c>
      <c r="AA14" s="490">
        <f t="shared" si="7"/>
        <v>6382.5848897335964</v>
      </c>
    </row>
    <row r="15" spans="1:28" hidden="1" outlineLevel="1">
      <c r="A15" s="226" t="s">
        <v>25</v>
      </c>
      <c r="B15" s="400">
        <f>B5-B20</f>
        <v>140106.20000000001</v>
      </c>
      <c r="C15" s="400">
        <f>C5-C20</f>
        <v>175887.1</v>
      </c>
      <c r="D15" s="400">
        <f>D5-D20</f>
        <v>63878.739999999991</v>
      </c>
      <c r="E15" s="400">
        <f>E5-E20</f>
        <v>30549.81</v>
      </c>
      <c r="F15" s="400">
        <f>F5-F20</f>
        <v>5650</v>
      </c>
      <c r="G15" s="400">
        <f>G5-G20</f>
        <v>55889.96</v>
      </c>
      <c r="H15" s="400">
        <f>H5-H20</f>
        <v>139167.57999999999</v>
      </c>
      <c r="I15" s="397">
        <f>I5-I20</f>
        <v>87013.43</v>
      </c>
      <c r="J15" s="396">
        <f>J5-J20</f>
        <v>75865.89</v>
      </c>
      <c r="K15" s="396">
        <f>K5-K20</f>
        <v>16500</v>
      </c>
      <c r="L15" s="397">
        <f t="shared" ref="L15:N15" si="8">L5-L20</f>
        <v>56766.490000000013</v>
      </c>
      <c r="M15" s="397">
        <f t="shared" si="8"/>
        <v>50209.429999999993</v>
      </c>
      <c r="N15" s="397">
        <f t="shared" si="8"/>
        <v>7000</v>
      </c>
      <c r="O15" s="397">
        <f>O5-O20</f>
        <v>73297.39</v>
      </c>
      <c r="P15" s="397">
        <f>P5-P20</f>
        <v>35087.950000000004</v>
      </c>
      <c r="Q15" s="397">
        <f>Q5-Q20</f>
        <v>71250.51999999999</v>
      </c>
      <c r="R15" s="397">
        <f t="shared" ref="R15:U15" si="9">R5-R20</f>
        <v>80253.67</v>
      </c>
      <c r="S15" s="397">
        <f t="shared" si="9"/>
        <v>82806</v>
      </c>
      <c r="T15" s="398">
        <f t="shared" si="9"/>
        <v>40216.81</v>
      </c>
      <c r="U15" s="456">
        <f t="shared" si="9"/>
        <v>407555.87</v>
      </c>
      <c r="V15" s="397">
        <f>V5-V20</f>
        <v>14005.39</v>
      </c>
      <c r="W15" s="399">
        <f>W5-W20</f>
        <v>70300.13</v>
      </c>
      <c r="X15" s="399">
        <f>X5-X20</f>
        <v>86285.200000000012</v>
      </c>
      <c r="Y15" s="397">
        <f>Y5-Y20</f>
        <v>120435.95</v>
      </c>
      <c r="Z15" s="399">
        <f>Z5-Z20</f>
        <v>82261.75</v>
      </c>
      <c r="AA15" s="399">
        <f>AA5-AA20</f>
        <v>18614.599999999999</v>
      </c>
    </row>
    <row r="16" spans="1:28" hidden="1" outlineLevel="1">
      <c r="A16" s="226"/>
      <c r="B16" s="426">
        <f>FUR!I5-'Total 2023'!B20</f>
        <v>84031.803840905748</v>
      </c>
      <c r="C16" s="426">
        <f>'MUN2'!I5-'Total 2023'!C21</f>
        <v>115071.49358380001</v>
      </c>
      <c r="D16" s="426">
        <f>SAR!G5-'Total 2023'!D21</f>
        <v>56389.656169427879</v>
      </c>
      <c r="E16" s="426">
        <f>'SAR2'!G5-'Total 2023'!E21</f>
        <v>14628.401396497931</v>
      </c>
      <c r="F16" s="426">
        <f>SW!G5-'Total 2023'!F21</f>
        <v>5819.7439672399996</v>
      </c>
      <c r="G16" s="426">
        <f>ANT!I5-'Total 2023'!G21</f>
        <v>32307.76358934</v>
      </c>
      <c r="H16" s="426">
        <f>OFF!K5-'Total 2023'!H21</f>
        <v>112473.19366215012</v>
      </c>
      <c r="I16" s="424">
        <f>BER!G5-'Total 2023'!I21</f>
        <v>45569.82702045999</v>
      </c>
      <c r="J16" s="408">
        <f>MAL!G5-'Total 2023'!J21</f>
        <v>47002.726250108804</v>
      </c>
      <c r="K16" s="408">
        <f>TAL!G5-'Total 2023'!K21</f>
        <v>10810.341027660001</v>
      </c>
      <c r="L16" s="424">
        <f>NEU!I18-'Total 2023'!L21</f>
        <v>13867.205349937154</v>
      </c>
      <c r="M16" s="424">
        <f>ARN!G5-'Total 2023'!M20</f>
        <v>29333.429777360005</v>
      </c>
      <c r="N16" s="424">
        <f>MEM!G5-N20</f>
        <v>8950.9126917199992</v>
      </c>
      <c r="O16" s="424">
        <f>HAL!G5-HAL!Y27</f>
        <v>62271.744095319991</v>
      </c>
      <c r="P16" s="424">
        <f>OLD!I5-OLD!AA26</f>
        <v>32952.023181600001</v>
      </c>
      <c r="Q16" s="427">
        <f>DOR!I5-DOR!AA26</f>
        <v>37428.200525200009</v>
      </c>
      <c r="R16" s="424">
        <f>FAL!I5-FAL!I8</f>
        <v>50869.554114690152</v>
      </c>
      <c r="S16" s="424">
        <f>AUH!G5-AUH!G8</f>
        <v>50539.316224978749</v>
      </c>
      <c r="T16" s="428">
        <f>BOCH!G5-BOCH!G8</f>
        <v>60425.139062559989</v>
      </c>
      <c r="U16" s="460">
        <f>'BER2'!G5-'BER2'!G8</f>
        <v>172368.02646534579</v>
      </c>
      <c r="V16" s="424">
        <f>SIE!G5-'Total 2023'!V21</f>
        <v>10148.253965884614</v>
      </c>
      <c r="W16" s="425">
        <f>AMB!G5</f>
        <v>38382.309527667057</v>
      </c>
      <c r="X16" s="425">
        <f>CHA!I5-CHA!I8</f>
        <v>80826.692597444126</v>
      </c>
      <c r="Y16" s="424">
        <f>'TAL2'!G5-'TAL2'!G8</f>
        <v>59787.258886707197</v>
      </c>
      <c r="Z16" s="425">
        <f>SIEC!G5-SIEC!G8</f>
        <v>52463.077531332499</v>
      </c>
      <c r="AA16" s="425">
        <f>'FAL (2)'!I5-'FAL (2)'!I8</f>
        <v>12232.015110266402</v>
      </c>
    </row>
    <row r="17" spans="1:27" hidden="1" outlineLevel="1">
      <c r="A17" s="226"/>
      <c r="B17" s="416">
        <f>B14/B15</f>
        <v>0.40022779976256767</v>
      </c>
      <c r="C17" s="416">
        <f t="shared" ref="C17:J17" si="10">C14/C15</f>
        <v>0.34576501867504777</v>
      </c>
      <c r="D17" s="416">
        <f t="shared" si="10"/>
        <v>0.11723906624601727</v>
      </c>
      <c r="E17" s="416">
        <f t="shared" si="10"/>
        <v>0.52116227902897172</v>
      </c>
      <c r="F17" s="416">
        <f t="shared" si="10"/>
        <v>-3.0043180042477809E-2</v>
      </c>
      <c r="G17" s="416">
        <f t="shared" si="10"/>
        <v>0.421939761822338</v>
      </c>
      <c r="H17" s="416">
        <f t="shared" si="10"/>
        <v>0.19181469087735711</v>
      </c>
      <c r="I17" s="417">
        <f t="shared" si="10"/>
        <v>0.47628972883312387</v>
      </c>
      <c r="J17" s="418">
        <f t="shared" si="10"/>
        <v>0.38044981413770002</v>
      </c>
      <c r="K17" s="422">
        <f t="shared" ref="K17:Y17" si="11">K14/K15</f>
        <v>0.34482781650545452</v>
      </c>
      <c r="L17" s="420">
        <f t="shared" si="11"/>
        <v>0.75571494115741256</v>
      </c>
      <c r="M17" s="420">
        <f t="shared" si="11"/>
        <v>0.41577847473353097</v>
      </c>
      <c r="N17" s="420">
        <f t="shared" si="11"/>
        <v>-0.27870181310285702</v>
      </c>
      <c r="O17" s="420">
        <f t="shared" si="11"/>
        <v>0.15042344488228038</v>
      </c>
      <c r="P17" s="420">
        <f t="shared" si="11"/>
        <v>6.0873514081044994E-2</v>
      </c>
      <c r="Q17" s="429">
        <f t="shared" si="11"/>
        <v>0.47469575625272609</v>
      </c>
      <c r="R17" s="420">
        <f t="shared" si="11"/>
        <v>0.35928719378577761</v>
      </c>
      <c r="S17" s="420">
        <f t="shared" si="11"/>
        <v>0.32345945674252163</v>
      </c>
      <c r="T17" s="419">
        <f t="shared" si="11"/>
        <v>-0.50248463422533995</v>
      </c>
      <c r="U17" s="459">
        <f t="shared" si="11"/>
        <v>0.57706896366050187</v>
      </c>
      <c r="V17" s="420">
        <f t="shared" si="11"/>
        <v>0.27540368630330075</v>
      </c>
      <c r="W17" s="421">
        <f t="shared" si="11"/>
        <v>0.45402221122966552</v>
      </c>
      <c r="X17" s="421">
        <f t="shared" si="11"/>
        <v>6.3261224434270139E-2</v>
      </c>
      <c r="Y17" s="420">
        <f t="shared" si="11"/>
        <v>0.50357630851330359</v>
      </c>
      <c r="Z17" s="421">
        <f t="shared" ref="Z17:AA17" si="12">Z14/Z15</f>
        <v>0.36224214131923405</v>
      </c>
      <c r="AA17" s="421">
        <f t="shared" si="12"/>
        <v>0.34288058243172548</v>
      </c>
    </row>
    <row r="18" spans="1:27" hidden="1" outlineLevel="1">
      <c r="I18" s="412"/>
      <c r="J18" s="413"/>
      <c r="K18" s="413"/>
      <c r="L18" s="412"/>
      <c r="M18" s="412"/>
      <c r="N18" s="412"/>
      <c r="O18" s="412"/>
      <c r="P18" s="412"/>
      <c r="Q18" s="412"/>
      <c r="R18" s="412"/>
      <c r="S18" s="412"/>
      <c r="T18" s="414"/>
      <c r="U18" s="458"/>
      <c r="V18" s="412"/>
      <c r="W18" s="415"/>
      <c r="X18" s="415"/>
      <c r="Y18" s="412"/>
      <c r="Z18" s="415"/>
      <c r="AA18" s="415"/>
    </row>
    <row r="19" spans="1:27" hidden="1" outlineLevel="1">
      <c r="A19" s="226" t="s">
        <v>26</v>
      </c>
      <c r="B19" s="426">
        <f>B20-B21</f>
        <v>6716.7516920000016</v>
      </c>
      <c r="C19" s="426"/>
      <c r="D19" s="426">
        <f>D20-D21</f>
        <v>3545</v>
      </c>
      <c r="E19" s="426"/>
      <c r="F19" s="426"/>
      <c r="G19" s="426"/>
      <c r="H19" s="426">
        <f>H20-H21</f>
        <v>21725.130000000005</v>
      </c>
      <c r="I19" s="424"/>
      <c r="J19" s="408"/>
      <c r="K19" s="408"/>
      <c r="L19" s="424">
        <f>L20-L21</f>
        <v>8629.4750000000004</v>
      </c>
      <c r="M19" s="405">
        <f>M20-M21</f>
        <v>2900.7999999999993</v>
      </c>
      <c r="N19" s="405">
        <f t="shared" ref="N19:Q19" si="13">N20-N21</f>
        <v>0</v>
      </c>
      <c r="O19" s="405">
        <f t="shared" si="13"/>
        <v>0</v>
      </c>
      <c r="P19" s="405">
        <f t="shared" si="13"/>
        <v>2327.54</v>
      </c>
      <c r="Q19" s="405">
        <f t="shared" si="13"/>
        <v>3849.05</v>
      </c>
      <c r="R19" s="405"/>
      <c r="S19" s="405">
        <f>S20-S21</f>
        <v>-2264.4799999999996</v>
      </c>
      <c r="T19" s="406">
        <f>T20-T21</f>
        <v>81008.23</v>
      </c>
      <c r="U19" s="457"/>
      <c r="V19" s="405"/>
      <c r="W19" s="407"/>
      <c r="X19" s="407"/>
      <c r="Y19" s="405"/>
      <c r="Z19" s="407"/>
      <c r="AA19" s="407"/>
    </row>
    <row r="20" spans="1:27" hidden="1" outlineLevel="1">
      <c r="A20" s="226" t="s">
        <v>27</v>
      </c>
      <c r="B20" s="426">
        <f>FUR!AA26</f>
        <v>28448.799999999999</v>
      </c>
      <c r="C20" s="400"/>
      <c r="D20" s="426">
        <f>SAR!Y26</f>
        <v>17743</v>
      </c>
      <c r="E20" s="400"/>
      <c r="F20" s="400"/>
      <c r="G20" s="400"/>
      <c r="H20" s="426">
        <f>OFF!AC25</f>
        <v>42998.720000000001</v>
      </c>
      <c r="I20" s="405"/>
      <c r="J20" s="404"/>
      <c r="K20" s="404"/>
      <c r="L20" s="424">
        <f>NEU!AA26</f>
        <v>15307.24</v>
      </c>
      <c r="M20" s="405">
        <f>ARN!Y26</f>
        <v>15394.08</v>
      </c>
      <c r="N20" s="405">
        <f>MEM!Y26</f>
        <v>0</v>
      </c>
      <c r="O20" s="405">
        <f>HAL!Y26</f>
        <v>0</v>
      </c>
      <c r="P20" s="405">
        <f>OLD!AA25</f>
        <v>5865.47</v>
      </c>
      <c r="Q20" s="423">
        <f>DOR!AA25</f>
        <v>9555</v>
      </c>
      <c r="R20" s="405"/>
      <c r="S20" s="405">
        <f>AUH!Y25</f>
        <v>4794</v>
      </c>
      <c r="T20" s="406">
        <f>BOCH!Y26</f>
        <v>210898.37</v>
      </c>
      <c r="U20" s="457"/>
      <c r="V20" s="405">
        <f>SIE!Y25</f>
        <v>0</v>
      </c>
      <c r="W20" s="407">
        <f>AMB!Y25</f>
        <v>0</v>
      </c>
      <c r="X20" s="407">
        <f>CHA!AA25</f>
        <v>0</v>
      </c>
      <c r="Y20" s="405">
        <f>'TAL2'!Y25</f>
        <v>0</v>
      </c>
      <c r="Z20" s="407">
        <f>SIEC!Y25</f>
        <v>0</v>
      </c>
      <c r="AA20" s="407">
        <f>'FAL (2)'!AA25</f>
        <v>0</v>
      </c>
    </row>
    <row r="21" spans="1:27" hidden="1" outlineLevel="1">
      <c r="A21" s="226"/>
      <c r="B21" s="426">
        <f>FUR!AA27</f>
        <v>21732.048307999998</v>
      </c>
      <c r="C21" s="400"/>
      <c r="D21" s="426">
        <f>SAR!Y27</f>
        <v>14198</v>
      </c>
      <c r="E21" s="400"/>
      <c r="F21" s="400"/>
      <c r="G21" s="400"/>
      <c r="H21" s="426">
        <f>OFF!AC26</f>
        <v>21273.589999999997</v>
      </c>
      <c r="I21" s="405"/>
      <c r="J21" s="404"/>
      <c r="K21" s="404"/>
      <c r="L21" s="405">
        <f>NEU!AA27</f>
        <v>6677.7649999999994</v>
      </c>
      <c r="M21" s="405">
        <f>ARN!Y27</f>
        <v>12493.28</v>
      </c>
      <c r="N21" s="405">
        <f>MEM!Y27</f>
        <v>0</v>
      </c>
      <c r="O21" s="405">
        <f>HAL!Y27</f>
        <v>0</v>
      </c>
      <c r="P21" s="405">
        <f>OLD!AA26</f>
        <v>3537.9300000000003</v>
      </c>
      <c r="Q21" s="423">
        <f>DOR!AA26</f>
        <v>5705.95</v>
      </c>
      <c r="R21" s="405"/>
      <c r="S21" s="405">
        <f>AUH!Y26</f>
        <v>7058.48</v>
      </c>
      <c r="T21" s="406">
        <f>BOCH!Y27</f>
        <v>129890.14</v>
      </c>
      <c r="U21" s="457">
        <f>'BER2'!Y26</f>
        <v>0</v>
      </c>
      <c r="V21" s="405">
        <f>SIE!Y26</f>
        <v>0</v>
      </c>
      <c r="W21" s="407">
        <f>AMB!Y26</f>
        <v>0</v>
      </c>
      <c r="X21" s="407">
        <f>CHA!AA26</f>
        <v>0</v>
      </c>
      <c r="Y21" s="405">
        <f>'TAL2'!Y26</f>
        <v>0</v>
      </c>
      <c r="Z21" s="407">
        <f>SIEC!Y26</f>
        <v>0</v>
      </c>
      <c r="AA21" s="407">
        <f>'FAL (2)'!AA26</f>
        <v>0</v>
      </c>
    </row>
    <row r="22" spans="1:27" hidden="1" outlineLevel="1">
      <c r="A22" s="226"/>
      <c r="B22" s="430">
        <f t="shared" ref="B22:L22" si="14">B19/B20</f>
        <v>0.23609964891313523</v>
      </c>
      <c r="C22" s="430"/>
      <c r="D22" s="430">
        <f t="shared" si="14"/>
        <v>0.19979710308290594</v>
      </c>
      <c r="E22" s="430"/>
      <c r="F22" s="430"/>
      <c r="G22" s="430"/>
      <c r="H22" s="430">
        <f t="shared" si="14"/>
        <v>0.5052506214138468</v>
      </c>
      <c r="I22" s="430"/>
      <c r="J22" s="430"/>
      <c r="K22" s="430"/>
      <c r="L22" s="420">
        <f t="shared" si="14"/>
        <v>0.56375120531199618</v>
      </c>
      <c r="M22" s="420">
        <f>M19/M20</f>
        <v>0.1884360741271969</v>
      </c>
      <c r="N22" s="420"/>
      <c r="O22" s="420"/>
      <c r="P22" s="420">
        <f t="shared" ref="O22:P22" si="15">P19/P20</f>
        <v>0.39682071513450751</v>
      </c>
      <c r="Q22" s="429">
        <f>Q19/Q20</f>
        <v>0.40283097854526428</v>
      </c>
      <c r="R22" s="429"/>
      <c r="S22" s="420">
        <f t="shared" ref="S22:Y22" si="16">S19/S20</f>
        <v>-0.47235711305798905</v>
      </c>
      <c r="T22" s="419">
        <f t="shared" si="16"/>
        <v>0.38411027074320203</v>
      </c>
      <c r="U22" s="459" t="e">
        <f t="shared" si="16"/>
        <v>#DIV/0!</v>
      </c>
      <c r="V22" s="459" t="e">
        <f t="shared" si="16"/>
        <v>#DIV/0!</v>
      </c>
      <c r="W22" s="421" t="e">
        <f t="shared" si="16"/>
        <v>#DIV/0!</v>
      </c>
      <c r="X22" s="421" t="e">
        <f t="shared" si="16"/>
        <v>#DIV/0!</v>
      </c>
      <c r="Y22" s="420" t="e">
        <f t="shared" si="16"/>
        <v>#DIV/0!</v>
      </c>
      <c r="Z22" s="421" t="e">
        <f t="shared" ref="Z22:AA22" si="17">Z19/Z20</f>
        <v>#DIV/0!</v>
      </c>
      <c r="AA22" s="421" t="e">
        <f t="shared" si="17"/>
        <v>#DIV/0!</v>
      </c>
    </row>
    <row r="23" spans="1:27" collapsed="1"/>
    <row r="29" spans="1:27">
      <c r="C29" s="455"/>
      <c r="E29" s="454"/>
      <c r="F29" s="454"/>
      <c r="G29" s="454"/>
    </row>
    <row r="30" spans="1:27">
      <c r="E30" s="454"/>
      <c r="F30" s="454"/>
      <c r="G30" s="454"/>
    </row>
    <row r="31" spans="1:27">
      <c r="E31" s="454"/>
      <c r="F31" s="454"/>
      <c r="G31" s="454"/>
    </row>
    <row r="32" spans="1:27">
      <c r="E32" s="454"/>
      <c r="F32" s="454"/>
      <c r="G32" s="454"/>
    </row>
    <row r="33" spans="4:5">
      <c r="D33" s="412"/>
      <c r="E33" s="496"/>
    </row>
  </sheetData>
  <mergeCells count="1">
    <mergeCell ref="B1:V1"/>
  </mergeCells>
  <conditionalFormatting sqref="A10:AA10 AC10:XFD10">
    <cfRule type="cellIs" dxfId="42" priority="1" operator="lessThan">
      <formula>0</formula>
    </cfRule>
  </conditionalFormatting>
  <conditionalFormatting sqref="B12:AA12">
    <cfRule type="cellIs" dxfId="41" priority="3" operator="lessThan">
      <formula>0.35</formula>
    </cfRule>
  </conditionalFormatting>
  <pageMargins left="0.7" right="0.7" top="0.75" bottom="0.75" header="0.3" footer="0.3"/>
  <ignoredErrors>
    <ignoredError sqref="W2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E0F5-2AC2-493F-8F62-2D63F320C626}">
  <dimension ref="A1:G28"/>
  <sheetViews>
    <sheetView workbookViewId="0">
      <selection activeCell="E25" sqref="E25"/>
    </sheetView>
  </sheetViews>
  <sheetFormatPr defaultRowHeight="15" outlineLevelCol="1"/>
  <cols>
    <col min="1" max="1" width="9.140625" customWidth="1"/>
    <col min="2" max="2" width="10.7109375" hidden="1" customWidth="1" outlineLevel="1"/>
    <col min="3" max="3" width="10.28515625" hidden="1" customWidth="1" outlineLevel="1"/>
    <col min="4" max="4" width="10.5703125" hidden="1" customWidth="1" outlineLevel="1"/>
    <col min="5" max="5" width="9.140625" collapsed="1"/>
    <col min="6" max="6" width="15.7109375" bestFit="1" customWidth="1"/>
    <col min="7" max="7" width="10.42578125" bestFit="1" customWidth="1"/>
  </cols>
  <sheetData>
    <row r="1" spans="1:7" s="219" customFormat="1" ht="27.75">
      <c r="A1" s="116" t="s">
        <v>28</v>
      </c>
      <c r="B1" s="220" t="s">
        <v>2</v>
      </c>
      <c r="C1" s="220" t="s">
        <v>3</v>
      </c>
      <c r="D1" s="220" t="s">
        <v>29</v>
      </c>
      <c r="E1" s="219" t="s">
        <v>30</v>
      </c>
      <c r="F1" s="221" t="s">
        <v>31</v>
      </c>
    </row>
    <row r="2" spans="1:7" s="219" customFormat="1">
      <c r="A2" s="222" t="str">
        <f>'SAR2'!A1</f>
        <v>SAR2</v>
      </c>
      <c r="B2" s="222">
        <f>'SAR2'!Y10</f>
        <v>22136.760000000002</v>
      </c>
      <c r="C2" s="222">
        <f>'SAR2'!Y11</f>
        <v>8413.0499999999993</v>
      </c>
      <c r="D2" s="222">
        <f>C2+B2</f>
        <v>30549.81</v>
      </c>
      <c r="E2" s="244">
        <f>'SAR2'!H17</f>
        <v>0.52116227902897172</v>
      </c>
      <c r="F2" s="222" t="s">
        <v>8</v>
      </c>
      <c r="G2" s="1">
        <f t="shared" ref="G2:G3" si="0">D2*E2</f>
        <v>15921.408603502072</v>
      </c>
    </row>
    <row r="3" spans="1:7" s="219" customFormat="1">
      <c r="A3" s="222" t="str">
        <f>BER!A1</f>
        <v>BER</v>
      </c>
      <c r="B3" s="222">
        <f>BER!Y10</f>
        <v>75388.429999999993</v>
      </c>
      <c r="C3" s="222">
        <f>BER!Y11</f>
        <v>11625</v>
      </c>
      <c r="D3" s="222">
        <f>C3+B3</f>
        <v>87013.43</v>
      </c>
      <c r="E3" s="244">
        <f>BER!H17</f>
        <v>0.47628972883312387</v>
      </c>
      <c r="F3" s="222" t="s">
        <v>17</v>
      </c>
      <c r="G3" s="1">
        <f t="shared" si="0"/>
        <v>41443.602979540003</v>
      </c>
    </row>
    <row r="4" spans="1:7">
      <c r="A4" s="334" t="str">
        <f>DOR!A1</f>
        <v>DOR</v>
      </c>
      <c r="B4" s="222">
        <f>DOR!AA10</f>
        <v>75736.12</v>
      </c>
      <c r="C4" s="222">
        <f>DOR!AA11</f>
        <v>5069.3999999999996</v>
      </c>
      <c r="D4" s="222">
        <f>C4+B4</f>
        <v>80805.51999999999</v>
      </c>
      <c r="E4" s="244">
        <f>DOR!J17</f>
        <v>0.4661979710643529</v>
      </c>
      <c r="F4" s="222" t="s">
        <v>17</v>
      </c>
      <c r="G4" s="1">
        <f>D4*E4</f>
        <v>37671.369474799983</v>
      </c>
    </row>
    <row r="5" spans="1:7">
      <c r="A5" s="376" t="str">
        <f>AMB!A1</f>
        <v>AMB</v>
      </c>
      <c r="B5" s="333">
        <f>AMB!G4</f>
        <v>70300.13</v>
      </c>
      <c r="C5" s="246"/>
      <c r="D5" s="222">
        <f>C5+B5</f>
        <v>70300.13</v>
      </c>
      <c r="E5" s="247">
        <f>AMB!H17</f>
        <v>0.45402221122966552</v>
      </c>
      <c r="F5" s="248" t="s">
        <v>32</v>
      </c>
      <c r="G5" s="1">
        <f t="shared" ref="G5:G27" si="1">D5*E5</f>
        <v>31917.820472332947</v>
      </c>
    </row>
    <row r="6" spans="1:7">
      <c r="A6" s="222" t="str">
        <f>ANT!A1</f>
        <v>ANT</v>
      </c>
      <c r="B6" s="222">
        <f>ANT!AA10</f>
        <v>55889.96</v>
      </c>
      <c r="C6" s="222">
        <f>ANT!AA11</f>
        <v>0</v>
      </c>
      <c r="D6" s="222">
        <f>C6+B6</f>
        <v>55889.96</v>
      </c>
      <c r="E6" s="244">
        <f>ANT!J18</f>
        <v>0.421939761822338</v>
      </c>
      <c r="F6" s="222" t="s">
        <v>9</v>
      </c>
      <c r="G6" s="1">
        <f t="shared" si="1"/>
        <v>23582.196410659999</v>
      </c>
    </row>
    <row r="7" spans="1:7">
      <c r="A7" s="222" t="str">
        <f>'MUN2'!A1</f>
        <v>MUN2</v>
      </c>
      <c r="B7" s="222">
        <f>'MUN2'!AA10</f>
        <v>175887.1</v>
      </c>
      <c r="C7" s="222">
        <f>'MUN2'!AA11</f>
        <v>13076.46</v>
      </c>
      <c r="D7" s="222">
        <f>C7+B7</f>
        <v>188963.56</v>
      </c>
      <c r="E7" s="244">
        <f>'MUN2'!J18</f>
        <v>0.39103870828957704</v>
      </c>
      <c r="F7" s="222" t="s">
        <v>17</v>
      </c>
      <c r="G7" s="1">
        <f t="shared" si="1"/>
        <v>73892.066416199988</v>
      </c>
    </row>
    <row r="8" spans="1:7">
      <c r="A8" s="334" t="str">
        <f>MAL!A1</f>
        <v>MAL</v>
      </c>
      <c r="B8" s="222">
        <f>MAL!Y10</f>
        <v>71337.13</v>
      </c>
      <c r="C8" s="222">
        <f>MAL!Y11</f>
        <v>4528.76</v>
      </c>
      <c r="D8" s="222">
        <f>C8+B8</f>
        <v>75865.89</v>
      </c>
      <c r="E8" s="244">
        <f>MAL!H18</f>
        <v>0.38044981413770002</v>
      </c>
      <c r="F8" s="222" t="s">
        <v>17</v>
      </c>
      <c r="G8" s="1">
        <f t="shared" si="1"/>
        <v>28863.163749891195</v>
      </c>
    </row>
    <row r="9" spans="1:7">
      <c r="A9" s="334" t="str">
        <f>FAL!A1</f>
        <v>FAL</v>
      </c>
      <c r="B9" s="222">
        <f>FAL!AA10</f>
        <v>75100.2</v>
      </c>
      <c r="C9" s="222">
        <f>FAL!AA11</f>
        <v>5153.4700000000012</v>
      </c>
      <c r="D9" s="222">
        <f>C9+B9</f>
        <v>80253.67</v>
      </c>
      <c r="E9" s="244">
        <f>FAL!J17</f>
        <v>0.35928719378577761</v>
      </c>
      <c r="F9" s="222" t="s">
        <v>33</v>
      </c>
      <c r="G9" s="1">
        <f t="shared" si="1"/>
        <v>28834.115885309846</v>
      </c>
    </row>
    <row r="10" spans="1:7">
      <c r="A10" s="245" t="str">
        <f>SIEC!A1</f>
        <v>SIEC</v>
      </c>
      <c r="B10" s="333">
        <f>SIEC!Y10</f>
        <v>79000</v>
      </c>
      <c r="C10" s="246">
        <f>SIEC!Y11</f>
        <v>3261.75</v>
      </c>
      <c r="D10" s="222">
        <f>C10+B10</f>
        <v>82261.75</v>
      </c>
      <c r="E10" s="247">
        <f>SIEC!H17</f>
        <v>0.35067917311104491</v>
      </c>
      <c r="F10" s="248" t="s">
        <v>12</v>
      </c>
      <c r="G10" s="1">
        <f t="shared" si="1"/>
        <v>28847.482468667498</v>
      </c>
    </row>
    <row r="11" spans="1:7">
      <c r="A11" s="334" t="str">
        <f>TAL!A1</f>
        <v>TAL</v>
      </c>
      <c r="B11" s="222">
        <f>TAL!Y10</f>
        <v>16500</v>
      </c>
      <c r="C11" s="222">
        <f>TAL!Y11</f>
        <v>0</v>
      </c>
      <c r="D11" s="222">
        <f>C11+B11</f>
        <v>16500</v>
      </c>
      <c r="E11" s="244">
        <f>TAL!H17</f>
        <v>0.34482781650545452</v>
      </c>
      <c r="F11" s="222" t="s">
        <v>8</v>
      </c>
      <c r="G11" s="1">
        <f t="shared" si="1"/>
        <v>5689.6589723399993</v>
      </c>
    </row>
    <row r="12" spans="1:7">
      <c r="A12" s="222" t="str">
        <f>FUR!A1</f>
        <v>FUR</v>
      </c>
      <c r="B12" s="222">
        <f>FUR!AA10</f>
        <v>162000</v>
      </c>
      <c r="C12" s="222">
        <f>FUR!AA11</f>
        <v>6555</v>
      </c>
      <c r="D12" s="222">
        <f>C12+B12</f>
        <v>168555</v>
      </c>
      <c r="E12" s="244">
        <f>FUR!J18</f>
        <v>0.33267714490281658</v>
      </c>
      <c r="F12" s="222" t="s">
        <v>9</v>
      </c>
      <c r="G12" s="1">
        <f t="shared" si="1"/>
        <v>56074.396159094249</v>
      </c>
    </row>
    <row r="13" spans="1:7">
      <c r="A13" s="334" t="str">
        <f>'FAL (2)'!A1</f>
        <v>FAL2</v>
      </c>
      <c r="B13" s="249">
        <f>'FAL (2)'!C4</f>
        <v>18614.599999999999</v>
      </c>
      <c r="C13" s="222">
        <f>'27'!Y11</f>
        <v>0</v>
      </c>
      <c r="D13" s="222">
        <f>C13+B13</f>
        <v>18614.599999999999</v>
      </c>
      <c r="E13" s="244">
        <f>'FAL (2)'!J17</f>
        <v>0.32568977521588416</v>
      </c>
      <c r="F13" s="222" t="s">
        <v>17</v>
      </c>
      <c r="G13" s="1">
        <f t="shared" si="1"/>
        <v>6062.5848897335964</v>
      </c>
    </row>
    <row r="14" spans="1:7">
      <c r="A14" s="334" t="str">
        <f>ARN!A1</f>
        <v>ARN</v>
      </c>
      <c r="B14" s="222">
        <f>ARN!Y10</f>
        <v>60000</v>
      </c>
      <c r="C14" s="222">
        <f>ARN!Y11</f>
        <v>5603.51</v>
      </c>
      <c r="D14" s="222">
        <f>C14+B14</f>
        <v>65603.509999999995</v>
      </c>
      <c r="E14" s="244">
        <f>ARN!H18</f>
        <v>0.31821468428503275</v>
      </c>
      <c r="F14" s="222" t="s">
        <v>17</v>
      </c>
      <c r="G14" s="1">
        <f t="shared" si="1"/>
        <v>20876.000222639988</v>
      </c>
    </row>
    <row r="15" spans="1:7">
      <c r="A15" s="334" t="str">
        <f>'BER2'!A1</f>
        <v>BER2</v>
      </c>
      <c r="B15" s="222">
        <f>'BER2'!Y10</f>
        <v>405955.87</v>
      </c>
      <c r="C15" s="222">
        <f>'BER2'!Y11</f>
        <v>1600</v>
      </c>
      <c r="D15" s="222">
        <f>C15+B15</f>
        <v>407555.87</v>
      </c>
      <c r="E15" s="244">
        <f>'BER2'!H17</f>
        <v>0.31451082653932622</v>
      </c>
      <c r="F15" s="222" t="s">
        <v>16</v>
      </c>
      <c r="G15" s="1">
        <f t="shared" si="1"/>
        <v>128180.73353465418</v>
      </c>
    </row>
    <row r="16" spans="1:7">
      <c r="A16" s="334" t="str">
        <f>AUH!A1</f>
        <v>AUH</v>
      </c>
      <c r="B16" s="222">
        <f>AUH!Y10</f>
        <v>86000</v>
      </c>
      <c r="C16" s="222">
        <f>AUH!Y11</f>
        <v>1600</v>
      </c>
      <c r="D16" s="222">
        <f>C16+B16</f>
        <v>87600</v>
      </c>
      <c r="E16" s="244">
        <f>AUH!H17</f>
        <v>0.30575780565092747</v>
      </c>
      <c r="F16" s="222" t="s">
        <v>14</v>
      </c>
      <c r="G16" s="1">
        <f t="shared" si="1"/>
        <v>26784.383775021248</v>
      </c>
    </row>
    <row r="17" spans="1:7">
      <c r="A17" s="334" t="str">
        <f>NEU!A1</f>
        <v>NEU</v>
      </c>
      <c r="B17" s="222">
        <f>NEU!AA10</f>
        <v>71273.73000000001</v>
      </c>
      <c r="C17" s="222">
        <f>NEU!AA11</f>
        <v>800</v>
      </c>
      <c r="D17" s="222">
        <f>C17+B17</f>
        <v>72073.73000000001</v>
      </c>
      <c r="E17" s="244">
        <f>NEU!J18</f>
        <v>0.28825445714623255</v>
      </c>
      <c r="F17" s="222" t="s">
        <v>11</v>
      </c>
      <c r="G17" s="1">
        <f t="shared" si="1"/>
        <v>20775.573915654139</v>
      </c>
    </row>
    <row r="18" spans="1:7">
      <c r="A18" s="334" t="str">
        <f>SIE!A1</f>
        <v>SIE</v>
      </c>
      <c r="B18" s="222">
        <f>SIE!Y10</f>
        <v>14005.39</v>
      </c>
      <c r="C18" s="222">
        <f>SIE!Y11</f>
        <v>0</v>
      </c>
      <c r="D18" s="222">
        <f>C18+B18</f>
        <v>14005.39</v>
      </c>
      <c r="E18" s="244">
        <f>SIE!H17</f>
        <v>0.27540368630330075</v>
      </c>
      <c r="F18" s="222" t="s">
        <v>32</v>
      </c>
      <c r="G18" s="1">
        <f t="shared" si="1"/>
        <v>3857.136034115385</v>
      </c>
    </row>
    <row r="19" spans="1:7">
      <c r="A19" s="245" t="str">
        <f>OFF!A1</f>
        <v>OFF</v>
      </c>
      <c r="B19" s="333">
        <f>OFF!AC10</f>
        <v>158000</v>
      </c>
      <c r="C19" s="246">
        <f>OFF!AC11</f>
        <v>24166.3</v>
      </c>
      <c r="D19" s="222">
        <f>C19+B19</f>
        <v>182166.3</v>
      </c>
      <c r="E19" s="247">
        <f>OFF!L17</f>
        <v>0.26579842889628802</v>
      </c>
      <c r="F19" s="248" t="s">
        <v>8</v>
      </c>
      <c r="G19" s="1">
        <f t="shared" si="1"/>
        <v>48419.516337849869</v>
      </c>
    </row>
    <row r="20" spans="1:7">
      <c r="A20" s="334" t="str">
        <f>HAL!A1</f>
        <v>HAL</v>
      </c>
      <c r="B20" s="222">
        <f>HAL!Y10</f>
        <v>63000</v>
      </c>
      <c r="C20" s="222">
        <f>HAL!Y11</f>
        <v>10297.39</v>
      </c>
      <c r="D20" s="222">
        <f>C20+B20</f>
        <v>73297.39</v>
      </c>
      <c r="E20" s="244">
        <f>HAL!H18</f>
        <v>0.15042344488228038</v>
      </c>
      <c r="F20" s="222" t="s">
        <v>12</v>
      </c>
      <c r="G20" s="1">
        <f t="shared" si="1"/>
        <v>11025.645904680008</v>
      </c>
    </row>
    <row r="21" spans="1:7">
      <c r="A21" s="222" t="str">
        <f>SAR!A1</f>
        <v>SAR</v>
      </c>
      <c r="B21" s="222">
        <f>SAR!Y10</f>
        <v>64000</v>
      </c>
      <c r="C21" s="222">
        <f>SAR!Y11</f>
        <v>17621.739999999998</v>
      </c>
      <c r="D21" s="222">
        <f>C21+B21</f>
        <v>81621.739999999991</v>
      </c>
      <c r="E21" s="244">
        <f>SAR!H18</f>
        <v>0.13518559921133896</v>
      </c>
      <c r="F21" s="222" t="s">
        <v>8</v>
      </c>
      <c r="G21" s="1">
        <f t="shared" si="1"/>
        <v>11034.083830572114</v>
      </c>
    </row>
    <row r="22" spans="1:7">
      <c r="A22" s="334" t="str">
        <f>BOCH!A1</f>
        <v>BOCH</v>
      </c>
      <c r="B22" s="222">
        <f>BOCH!Y10</f>
        <v>225634</v>
      </c>
      <c r="C22" s="222">
        <f>BOCH!Y11</f>
        <v>25481.18</v>
      </c>
      <c r="D22" s="222">
        <f>C22+B22</f>
        <v>251115.18</v>
      </c>
      <c r="E22" s="244">
        <f>BOCH!H18</f>
        <v>0.11103522669334447</v>
      </c>
      <c r="F22" s="222" t="s">
        <v>15</v>
      </c>
      <c r="G22" s="1">
        <f t="shared" si="1"/>
        <v>27882.630937440001</v>
      </c>
    </row>
    <row r="23" spans="1:7">
      <c r="A23" s="334" t="str">
        <f>OLD!A1</f>
        <v>OLD</v>
      </c>
      <c r="B23" s="222">
        <f>OLD!AA10</f>
        <v>38521.980000000003</v>
      </c>
      <c r="C23" s="222">
        <f>OLD!AA11</f>
        <v>2431.44</v>
      </c>
      <c r="D23" s="222">
        <f>C23+B23</f>
        <v>40953.420000000006</v>
      </c>
      <c r="E23" s="244">
        <f>OLD!J17</f>
        <v>0.10898886633643791</v>
      </c>
      <c r="F23" s="222" t="s">
        <v>17</v>
      </c>
      <c r="G23" s="1">
        <f t="shared" si="1"/>
        <v>4463.4668184000038</v>
      </c>
    </row>
    <row r="24" spans="1:7">
      <c r="A24" s="334" t="str">
        <f>'TAL2'!A1</f>
        <v>TAL2</v>
      </c>
      <c r="B24" s="222">
        <f>'TAL2'!Y10</f>
        <v>94138.97</v>
      </c>
      <c r="C24" s="222">
        <f>'TAL2'!Y11</f>
        <v>26296.98</v>
      </c>
      <c r="D24" s="222">
        <f>C24+B24</f>
        <v>120435.95</v>
      </c>
      <c r="E24" s="244">
        <f>'TAL2'!H17</f>
        <v>0.10679868522059069</v>
      </c>
      <c r="F24" s="222" t="s">
        <v>34</v>
      </c>
      <c r="G24" s="1">
        <f t="shared" si="1"/>
        <v>12862.401113292799</v>
      </c>
    </row>
    <row r="25" spans="1:7">
      <c r="A25" s="334" t="str">
        <f>CHA!A1</f>
        <v>CHA</v>
      </c>
      <c r="B25" s="222">
        <f>CHA!AA10</f>
        <v>67542.600000000006</v>
      </c>
      <c r="C25" s="222">
        <f>CHA!AA11</f>
        <v>18742.599999999999</v>
      </c>
      <c r="D25" s="222">
        <f>C25+B25</f>
        <v>86285.200000000012</v>
      </c>
      <c r="E25" s="244">
        <f>CHA!J17</f>
        <v>6.2170191441358262E-2</v>
      </c>
      <c r="F25" s="222" t="s">
        <v>17</v>
      </c>
      <c r="G25" s="1">
        <f t="shared" si="1"/>
        <v>5364.3674025558867</v>
      </c>
    </row>
    <row r="26" spans="1:7">
      <c r="A26" s="222" t="str">
        <f>SW!A1</f>
        <v>SW</v>
      </c>
      <c r="B26" s="249">
        <f>SW!Y10</f>
        <v>5650</v>
      </c>
      <c r="C26" s="222">
        <f>SW!Y11</f>
        <v>0</v>
      </c>
      <c r="D26" s="222">
        <f>C26+B26</f>
        <v>5650</v>
      </c>
      <c r="E26" s="244">
        <f>SW!H17</f>
        <v>-3.0043180042477809E-2</v>
      </c>
      <c r="F26" s="222" t="s">
        <v>17</v>
      </c>
      <c r="G26" s="1">
        <f t="shared" si="1"/>
        <v>-169.74396723999962</v>
      </c>
    </row>
    <row r="27" spans="1:7">
      <c r="A27" s="334" t="str">
        <f>MEM!A1</f>
        <v>MEM</v>
      </c>
      <c r="B27" s="222">
        <f>MEM!Y10</f>
        <v>7000</v>
      </c>
      <c r="C27" s="222">
        <f>MEM!Y11</f>
        <v>0</v>
      </c>
      <c r="D27" s="222">
        <f>C27+B27</f>
        <v>7000</v>
      </c>
      <c r="E27" s="244">
        <f>MEM!H18</f>
        <v>-0.27870181310285702</v>
      </c>
      <c r="F27" s="222" t="s">
        <v>11</v>
      </c>
      <c r="G27" s="1">
        <f t="shared" si="1"/>
        <v>-1950.9126917199992</v>
      </c>
    </row>
    <row r="28" spans="1:7">
      <c r="G28" s="1">
        <f>SUM(G2:G27)</f>
        <v>698205.14964998688</v>
      </c>
    </row>
  </sheetData>
  <autoFilter ref="A1:F27" xr:uid="{3D06E0F5-2AC2-493F-8F62-2D63F320C626}">
    <sortState xmlns:xlrd2="http://schemas.microsoft.com/office/spreadsheetml/2017/richdata2" ref="A2:F28">
      <sortCondition descending="1" ref="E1:E27"/>
    </sortState>
  </autoFilter>
  <sortState xmlns:xlrd2="http://schemas.microsoft.com/office/spreadsheetml/2017/richdata2" ref="A2:F27">
    <sortCondition ref="E2:E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AE486-6C8D-4646-8B2F-1A8A6C58FE59}">
  <sheetPr>
    <pageSetUpPr fitToPage="1"/>
  </sheetPr>
  <dimension ref="A1:AM64"/>
  <sheetViews>
    <sheetView workbookViewId="0">
      <selection activeCell="AF7" sqref="AF7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0.7109375" customWidth="1" outlineLevel="1"/>
    <col min="6" max="6" width="10.140625" customWidth="1" outlineLevel="1"/>
    <col min="7" max="8" width="10.7109375" customWidth="1"/>
    <col min="9" max="9" width="3.28515625" customWidth="1"/>
    <col min="10" max="10" width="0.5703125" hidden="1" customWidth="1" outlineLevel="1"/>
    <col min="11" max="11" width="10.7109375" customWidth="1" collapsed="1"/>
    <col min="12" max="15" width="10.7109375" customWidth="1"/>
    <col min="16" max="16" width="10.28515625" hidden="1" customWidth="1" outlineLevel="1"/>
    <col min="17" max="20" width="9.140625" hidden="1" customWidth="1" outlineLevel="1"/>
    <col min="21" max="21" width="1" hidden="1" customWidth="1" outlineLevel="1"/>
    <col min="22" max="22" width="9.140625" customWidth="1" collapsed="1"/>
    <col min="23" max="23" width="3" customWidth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customWidth="1"/>
    <col min="32" max="32" width="12.7109375" customWidth="1"/>
    <col min="33" max="38" width="12.7109375" hidden="1" customWidth="1" outlineLevel="1"/>
    <col min="39" max="39" width="12.7109375" customWidth="1" collapsed="1"/>
    <col min="40" max="40" width="12.7109375" customWidth="1"/>
  </cols>
  <sheetData>
    <row r="1" spans="1:39" ht="25.5">
      <c r="A1" s="536"/>
      <c r="B1" s="536"/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536"/>
      <c r="Q1" s="536"/>
      <c r="R1" s="536"/>
      <c r="S1" s="536"/>
      <c r="T1" s="536"/>
      <c r="U1" s="536"/>
      <c r="V1" s="536"/>
      <c r="W1" s="536"/>
      <c r="X1" s="536"/>
      <c r="Y1" s="536"/>
      <c r="Z1" s="536"/>
      <c r="AA1" s="536"/>
      <c r="AB1" s="536"/>
      <c r="AC1" s="536"/>
      <c r="AD1" s="536"/>
      <c r="AE1" s="536"/>
    </row>
    <row r="2" spans="1:39" ht="18.75">
      <c r="A2" s="537" t="s">
        <v>35</v>
      </c>
      <c r="B2" s="538"/>
      <c r="C2" s="538"/>
      <c r="D2" s="538"/>
      <c r="E2" s="538"/>
      <c r="F2" s="538"/>
      <c r="G2" s="538"/>
      <c r="H2" s="539"/>
      <c r="I2" s="7"/>
      <c r="J2" s="540" t="s">
        <v>36</v>
      </c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2"/>
    </row>
    <row r="3" spans="1:39" ht="15.75" customHeight="1">
      <c r="A3" s="84"/>
      <c r="C3" s="543" t="s">
        <v>37</v>
      </c>
      <c r="D3" s="544"/>
      <c r="E3" s="543" t="s">
        <v>38</v>
      </c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39" ht="16.5" customHeight="1">
      <c r="A4" s="85" t="s">
        <v>43</v>
      </c>
      <c r="B4" s="5" t="s">
        <v>44</v>
      </c>
      <c r="C4" s="83">
        <f>G4/5*4</f>
        <v>0</v>
      </c>
      <c r="E4" s="83">
        <f>G4/5+Y11</f>
        <v>0</v>
      </c>
      <c r="G4" s="153">
        <f>Y10+Y11</f>
        <v>0</v>
      </c>
      <c r="H4" s="235">
        <f>AM6</f>
        <v>0</v>
      </c>
      <c r="J4" s="178" t="s">
        <v>45</v>
      </c>
      <c r="K4" s="31" t="s">
        <v>46</v>
      </c>
      <c r="L4" s="170" t="s">
        <v>47</v>
      </c>
      <c r="M4" s="170" t="s">
        <v>48</v>
      </c>
      <c r="N4" s="32" t="s">
        <v>49</v>
      </c>
      <c r="O4" s="32" t="s">
        <v>50</v>
      </c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V6</f>
        <v>1</v>
      </c>
      <c r="Z4" s="116"/>
      <c r="AA4" s="30" t="s">
        <v>45</v>
      </c>
      <c r="AB4" s="31" t="s">
        <v>46</v>
      </c>
      <c r="AC4" s="170" t="s">
        <v>47</v>
      </c>
      <c r="AD4" s="170" t="s">
        <v>48</v>
      </c>
      <c r="AE4" s="32" t="s">
        <v>49</v>
      </c>
      <c r="AF4" s="32" t="s">
        <v>50</v>
      </c>
      <c r="AG4" s="32"/>
      <c r="AH4" s="32"/>
      <c r="AI4" s="32"/>
      <c r="AJ4" s="32"/>
      <c r="AK4" s="32"/>
      <c r="AL4" s="32"/>
      <c r="AM4" s="529" t="s">
        <v>51</v>
      </c>
    </row>
    <row r="5" spans="1:39">
      <c r="A5" s="85" t="s">
        <v>53</v>
      </c>
      <c r="B5" s="5" t="s">
        <v>54</v>
      </c>
      <c r="C5" s="192">
        <f>C6+C7+C8+C9+C10+C11+C13+C14+C16+C15+C12</f>
        <v>0</v>
      </c>
      <c r="D5" s="5"/>
      <c r="E5" s="192">
        <f>E6+E7+E8+E9+E10+E11+E13+E14+E16+E15+E12</f>
        <v>0</v>
      </c>
      <c r="F5" s="5"/>
      <c r="G5" s="154">
        <f>G6+G7+G8+G9+G10+G11+G13+G14+G16+G15+G12</f>
        <v>0</v>
      </c>
      <c r="H5" s="87">
        <f>AM7</f>
        <v>0</v>
      </c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>
        <v>7</v>
      </c>
      <c r="R5" s="80">
        <v>8</v>
      </c>
      <c r="S5" s="80">
        <v>9</v>
      </c>
      <c r="T5" s="80">
        <v>10</v>
      </c>
      <c r="U5" s="36"/>
      <c r="V5" s="528"/>
      <c r="X5" s="37" t="s">
        <v>55</v>
      </c>
      <c r="Y5" s="38" t="e">
        <f>N7+V8</f>
        <v>#DIV/0!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88" t="s">
        <v>56</v>
      </c>
      <c r="B6" s="81" t="s">
        <v>57</v>
      </c>
      <c r="C6" s="22"/>
      <c r="D6" s="13">
        <f>C6+C7+C8</f>
        <v>0</v>
      </c>
      <c r="E6" s="159"/>
      <c r="F6" s="13">
        <f>E6+E7+E8</f>
        <v>0</v>
      </c>
      <c r="G6" s="9">
        <f>C6+E6</f>
        <v>0</v>
      </c>
      <c r="H6" s="90">
        <f>G6+G7+G8</f>
        <v>0</v>
      </c>
      <c r="J6" s="180"/>
      <c r="K6" s="40">
        <v>0.2</v>
      </c>
      <c r="L6" s="40">
        <v>0.4</v>
      </c>
      <c r="M6" s="40">
        <v>0.6</v>
      </c>
      <c r="N6" s="40">
        <v>0.8</v>
      </c>
      <c r="O6" s="40">
        <v>1</v>
      </c>
      <c r="P6" s="40"/>
      <c r="Q6" s="40"/>
      <c r="R6" s="40"/>
      <c r="S6" s="40"/>
      <c r="T6" s="40"/>
      <c r="U6" s="41"/>
      <c r="V6" s="40">
        <f>O6</f>
        <v>1</v>
      </c>
      <c r="X6" s="531" t="s">
        <v>58</v>
      </c>
      <c r="Y6" s="532"/>
      <c r="AA6" s="42"/>
      <c r="AB6" s="43">
        <f>AM6/6</f>
        <v>0</v>
      </c>
      <c r="AC6" s="43">
        <f>AB6</f>
        <v>0</v>
      </c>
      <c r="AD6" s="43">
        <f>AB6</f>
        <v>0</v>
      </c>
      <c r="AE6" s="43">
        <f>AD6</f>
        <v>0</v>
      </c>
      <c r="AF6" s="43">
        <f>AE6</f>
        <v>0</v>
      </c>
      <c r="AG6" s="43">
        <f>AF6</f>
        <v>0</v>
      </c>
      <c r="AH6" s="44"/>
      <c r="AI6" s="44"/>
      <c r="AJ6" s="44"/>
      <c r="AK6" s="44"/>
      <c r="AL6" s="44"/>
      <c r="AM6" s="121"/>
    </row>
    <row r="7" spans="1:39">
      <c r="A7" s="91" t="s">
        <v>59</v>
      </c>
      <c r="B7" s="92" t="s">
        <v>60</v>
      </c>
      <c r="C7" s="134"/>
      <c r="D7" s="13"/>
      <c r="E7" s="156"/>
      <c r="F7" s="13"/>
      <c r="G7" s="9">
        <f t="shared" ref="G7:G16" si="0">C7+E7</f>
        <v>0</v>
      </c>
      <c r="H7" s="90"/>
      <c r="J7" s="181"/>
      <c r="K7" s="48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f>O7</f>
        <v>0</v>
      </c>
      <c r="X7" s="49" t="s">
        <v>52</v>
      </c>
      <c r="Y7" s="50" t="e">
        <f>AM6/Y13</f>
        <v>#DIV/0!</v>
      </c>
      <c r="AA7" s="51"/>
      <c r="AB7" s="52"/>
      <c r="AC7" s="53"/>
      <c r="AD7" s="53"/>
      <c r="AE7" s="53"/>
      <c r="AF7" s="53"/>
      <c r="AG7" s="53"/>
      <c r="AH7" s="54"/>
      <c r="AI7" s="54"/>
      <c r="AJ7" s="54"/>
      <c r="AK7" s="54"/>
      <c r="AL7" s="54"/>
      <c r="AM7" s="164">
        <f t="shared" ref="AM7" si="1">AB7+AC7+AD7+AE7+AF7+AG7+AL7+AH7+AI7+AJ7+AK7</f>
        <v>0</v>
      </c>
    </row>
    <row r="8" spans="1:39">
      <c r="A8" s="93" t="s">
        <v>61</v>
      </c>
      <c r="B8" s="82" t="s">
        <v>62</v>
      </c>
      <c r="C8" s="20"/>
      <c r="D8" s="14"/>
      <c r="E8" s="14"/>
      <c r="F8" s="14"/>
      <c r="G8" s="9">
        <f t="shared" si="0"/>
        <v>0</v>
      </c>
      <c r="H8" s="95"/>
      <c r="J8" s="182"/>
      <c r="K8" s="55"/>
      <c r="L8" s="55"/>
      <c r="M8" s="55"/>
      <c r="N8" s="56"/>
      <c r="O8" s="56" t="e">
        <f>Y11/Y10</f>
        <v>#DIV/0!</v>
      </c>
      <c r="P8" s="56"/>
      <c r="Q8" s="55"/>
      <c r="R8" s="55"/>
      <c r="S8" s="55"/>
      <c r="T8" s="55"/>
      <c r="U8" s="55"/>
      <c r="V8" s="56" t="e">
        <f>SUM(K8:U8)</f>
        <v>#DIV/0!</v>
      </c>
      <c r="X8" s="59" t="s">
        <v>55</v>
      </c>
      <c r="Y8" s="77" t="e">
        <f>AM7/Y13</f>
        <v>#DIV/0!</v>
      </c>
      <c r="AM8" s="105"/>
    </row>
    <row r="9" spans="1:39">
      <c r="A9" s="88" t="s">
        <v>63</v>
      </c>
      <c r="B9" s="81" t="s">
        <v>64</v>
      </c>
      <c r="C9" s="138"/>
      <c r="D9" s="151">
        <f>C9+C10+C11+C13+C12</f>
        <v>0</v>
      </c>
      <c r="E9" s="151"/>
      <c r="F9" s="137">
        <f>E9+E10+E11+E13+E12</f>
        <v>0</v>
      </c>
      <c r="G9" s="24">
        <f t="shared" si="0"/>
        <v>0</v>
      </c>
      <c r="H9" s="96">
        <f>G9+G10+G11+G13+G12</f>
        <v>0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0</v>
      </c>
      <c r="D10" s="13"/>
      <c r="E10" s="156">
        <f>E9*0.2359</f>
        <v>0</v>
      </c>
      <c r="F10" s="89"/>
      <c r="G10" s="25">
        <f t="shared" si="0"/>
        <v>0</v>
      </c>
      <c r="H10" s="95"/>
      <c r="J10" s="84"/>
      <c r="X10" s="10" t="s">
        <v>67</v>
      </c>
      <c r="Y10" s="61"/>
      <c r="AM10" s="105"/>
    </row>
    <row r="11" spans="1:39">
      <c r="A11" s="91" t="s">
        <v>68</v>
      </c>
      <c r="B11" s="92" t="s">
        <v>69</v>
      </c>
      <c r="C11" s="134">
        <f>(C9+C10)*0.08</f>
        <v>0</v>
      </c>
      <c r="D11" s="13"/>
      <c r="E11" s="156">
        <f>(E9+E10)*0.08</f>
        <v>0</v>
      </c>
      <c r="F11" s="89"/>
      <c r="G11" s="25">
        <f t="shared" si="0"/>
        <v>0</v>
      </c>
      <c r="H11" s="95"/>
      <c r="J11" s="84"/>
      <c r="X11" s="62" t="s">
        <v>70</v>
      </c>
      <c r="Y11" s="201"/>
      <c r="AM11" s="105"/>
    </row>
    <row r="12" spans="1:39">
      <c r="A12" s="97" t="s">
        <v>71</v>
      </c>
      <c r="B12" s="98" t="s">
        <v>72</v>
      </c>
      <c r="C12" s="135">
        <f>(C13+C11+C10+C9)*0.07</f>
        <v>0</v>
      </c>
      <c r="D12" s="142"/>
      <c r="E12" s="159">
        <f>(E13+E11+E10+E9)*0.07</f>
        <v>0</v>
      </c>
      <c r="F12" s="131"/>
      <c r="G12" s="25">
        <f t="shared" si="0"/>
        <v>0</v>
      </c>
      <c r="H12" s="95"/>
      <c r="J12" s="84"/>
      <c r="AM12" s="105"/>
    </row>
    <row r="13" spans="1:39">
      <c r="A13" s="91" t="s">
        <v>73</v>
      </c>
      <c r="B13" s="92" t="s">
        <v>74</v>
      </c>
      <c r="C13" s="139"/>
      <c r="D13" s="143"/>
      <c r="E13" s="162"/>
      <c r="F13" s="133"/>
      <c r="G13" s="26">
        <f t="shared" si="0"/>
        <v>0</v>
      </c>
      <c r="H13" s="99"/>
      <c r="J13" s="84"/>
      <c r="X13" s="64" t="s">
        <v>75</v>
      </c>
      <c r="Y13" s="65"/>
      <c r="AM13" s="105"/>
    </row>
    <row r="14" spans="1:39">
      <c r="A14" s="100" t="s">
        <v>76</v>
      </c>
      <c r="B14" s="81" t="s">
        <v>77</v>
      </c>
      <c r="C14" s="19"/>
      <c r="D14" s="156">
        <f>C14+C16+C15</f>
        <v>0</v>
      </c>
      <c r="E14" s="142"/>
      <c r="F14" s="13">
        <f>E14+E16+E15</f>
        <v>0</v>
      </c>
      <c r="G14" s="9">
        <f t="shared" si="0"/>
        <v>0</v>
      </c>
      <c r="H14" s="95">
        <f>G14+G16+G15</f>
        <v>0</v>
      </c>
      <c r="J14" s="84"/>
      <c r="X14" s="66" t="s">
        <v>78</v>
      </c>
      <c r="Y14" s="66" t="s">
        <v>79</v>
      </c>
      <c r="AM14" s="105"/>
    </row>
    <row r="15" spans="1:39">
      <c r="A15" s="101" t="s">
        <v>80</v>
      </c>
      <c r="B15" s="92" t="s">
        <v>81</v>
      </c>
      <c r="C15" s="134"/>
      <c r="D15" s="13"/>
      <c r="E15" s="142"/>
      <c r="F15" s="13"/>
      <c r="G15" s="9">
        <f t="shared" si="0"/>
        <v>0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34"/>
      <c r="D16" s="13"/>
      <c r="E16" s="156"/>
      <c r="F16" s="13"/>
      <c r="G16" s="9">
        <f t="shared" si="0"/>
        <v>0</v>
      </c>
      <c r="H16" s="95"/>
      <c r="J16" s="84"/>
      <c r="X16" s="67" t="s">
        <v>85</v>
      </c>
      <c r="Y16" s="68">
        <v>12</v>
      </c>
      <c r="AM16" s="105"/>
    </row>
    <row r="17" spans="1:39">
      <c r="A17" s="85" t="s">
        <v>86</v>
      </c>
      <c r="B17" s="5" t="s">
        <v>87</v>
      </c>
      <c r="C17" s="185">
        <f>C4-C5</f>
        <v>0</v>
      </c>
      <c r="D17" s="129" t="e">
        <f>C17/C4</f>
        <v>#DIV/0!</v>
      </c>
      <c r="E17" s="185">
        <f>E4-E5</f>
        <v>0</v>
      </c>
      <c r="F17" s="130" t="e">
        <f>E17/E4</f>
        <v>#DIV/0!</v>
      </c>
      <c r="G17" s="16">
        <f>G4-G5</f>
        <v>0</v>
      </c>
      <c r="H17" s="102" t="e">
        <f>G17/G4</f>
        <v>#DIV/0!</v>
      </c>
      <c r="J17" s="84"/>
      <c r="AM17" s="105"/>
    </row>
    <row r="18" spans="1:39" ht="20.25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33" t="s">
        <v>88</v>
      </c>
      <c r="L18" s="534"/>
      <c r="M18" s="534"/>
      <c r="N18" s="534"/>
      <c r="O18" s="534"/>
      <c r="P18" s="534"/>
      <c r="Q18" s="534"/>
      <c r="R18" s="534"/>
      <c r="S18" s="534"/>
      <c r="T18" s="534"/>
      <c r="U18" s="535"/>
      <c r="V18" s="29"/>
      <c r="X18" s="520" t="s">
        <v>89</v>
      </c>
      <c r="Y18" s="520"/>
      <c r="AA18" s="27" t="s">
        <v>40</v>
      </c>
      <c r="AB18" s="533" t="s">
        <v>90</v>
      </c>
      <c r="AC18" s="534"/>
      <c r="AD18" s="534"/>
      <c r="AE18" s="534"/>
      <c r="AF18" s="534"/>
      <c r="AG18" s="534"/>
      <c r="AH18" s="534"/>
      <c r="AI18" s="534"/>
      <c r="AJ18" s="534"/>
      <c r="AK18" s="534"/>
      <c r="AL18" s="535"/>
      <c r="AM18" s="117"/>
    </row>
    <row r="19" spans="1:39" ht="24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31" t="s">
        <v>46</v>
      </c>
      <c r="L19" s="170" t="s">
        <v>47</v>
      </c>
      <c r="M19" s="170" t="s">
        <v>48</v>
      </c>
      <c r="N19" s="32" t="s">
        <v>49</v>
      </c>
      <c r="O19" s="32" t="s">
        <v>50</v>
      </c>
      <c r="P19" s="32"/>
      <c r="Q19" s="31"/>
      <c r="R19" s="31"/>
      <c r="S19" s="31"/>
      <c r="T19" s="31"/>
      <c r="U19" s="31"/>
      <c r="V19" s="516" t="s">
        <v>51</v>
      </c>
      <c r="X19" s="69" t="s">
        <v>52</v>
      </c>
      <c r="Y19" s="50"/>
      <c r="AA19" s="30" t="s">
        <v>45</v>
      </c>
      <c r="AB19" s="31" t="s">
        <v>46</v>
      </c>
      <c r="AC19" s="170" t="s">
        <v>47</v>
      </c>
      <c r="AD19" s="170" t="s">
        <v>48</v>
      </c>
      <c r="AE19" s="32" t="s">
        <v>49</v>
      </c>
      <c r="AF19" s="32" t="s">
        <v>50</v>
      </c>
      <c r="AG19" s="32"/>
      <c r="AH19" s="31"/>
      <c r="AI19" s="31"/>
      <c r="AJ19" s="31"/>
      <c r="AK19" s="31"/>
      <c r="AL19" s="31"/>
      <c r="AM19" s="518" t="s">
        <v>51</v>
      </c>
    </row>
    <row r="20" spans="1:39">
      <c r="A20" s="108" t="s">
        <v>93</v>
      </c>
      <c r="B20" s="3" t="e">
        <f>H6/G5*100</f>
        <v>#DIV/0!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>
        <v>7</v>
      </c>
      <c r="R20" s="70">
        <v>8</v>
      </c>
      <c r="S20" s="70">
        <v>9</v>
      </c>
      <c r="T20" s="70">
        <v>10</v>
      </c>
      <c r="U20" s="70"/>
      <c r="V20" s="517"/>
      <c r="X20" s="71" t="s">
        <v>55</v>
      </c>
      <c r="Y20" s="77">
        <f>V22</f>
        <v>0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 t="e">
        <f>H9/G5*100</f>
        <v>#DIV/0!</v>
      </c>
      <c r="C21" s="109"/>
      <c r="D21" s="109"/>
      <c r="E21" s="109"/>
      <c r="F21" s="109"/>
      <c r="H21" s="105"/>
      <c r="J21" s="125"/>
      <c r="K21" s="73">
        <f>V21/5</f>
        <v>0</v>
      </c>
      <c r="L21" s="73">
        <f>K21</f>
        <v>0</v>
      </c>
      <c r="M21" s="73">
        <f>K21</f>
        <v>0</v>
      </c>
      <c r="N21" s="73">
        <f>M21</f>
        <v>0</v>
      </c>
      <c r="O21" s="73">
        <f>N21</f>
        <v>0</v>
      </c>
      <c r="P21" s="73"/>
      <c r="Q21" s="73"/>
      <c r="R21" s="73"/>
      <c r="S21" s="73"/>
      <c r="T21" s="73"/>
      <c r="U21" s="73"/>
      <c r="V21" s="74">
        <f>Y19</f>
        <v>0</v>
      </c>
      <c r="X21" s="520" t="s">
        <v>90</v>
      </c>
      <c r="Y21" s="520"/>
      <c r="AA21" s="72"/>
      <c r="AB21" s="73">
        <f>AM21/5</f>
        <v>0</v>
      </c>
      <c r="AC21" s="73">
        <f>AB21</f>
        <v>0</v>
      </c>
      <c r="AD21" s="73">
        <f>AB21</f>
        <v>0</v>
      </c>
      <c r="AE21" s="73">
        <f>AD21</f>
        <v>0</v>
      </c>
      <c r="AF21" s="73">
        <f>AE21</f>
        <v>0</v>
      </c>
      <c r="AG21" s="73"/>
      <c r="AH21" s="73"/>
      <c r="AI21" s="73"/>
      <c r="AJ21" s="73"/>
      <c r="AK21" s="73"/>
      <c r="AL21" s="73"/>
      <c r="AM21" s="126">
        <f>Y22</f>
        <v>0</v>
      </c>
    </row>
    <row r="22" spans="1:39">
      <c r="A22" s="111" t="s">
        <v>95</v>
      </c>
      <c r="B22" s="2" t="e">
        <f>H14/G5*100</f>
        <v>#DIV/0!</v>
      </c>
      <c r="C22" s="109"/>
      <c r="D22" s="109"/>
      <c r="E22" s="109"/>
      <c r="F22" s="109"/>
      <c r="H22" s="105"/>
      <c r="J22" s="12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63">
        <f t="shared" ref="V22" si="2">K22+L22+M22+N22+O22+P22+U22+Q22+R22+S22+T22</f>
        <v>0</v>
      </c>
      <c r="X22" s="69" t="s">
        <v>52</v>
      </c>
      <c r="Y22" s="50"/>
      <c r="AA22" s="72"/>
      <c r="AB22" s="75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165">
        <f t="shared" ref="AM22" si="3">AB22+AC22+AD22+AE22+AF22+AG22+AL22+AH22+AI22+AJ22+AK22</f>
        <v>0</v>
      </c>
    </row>
    <row r="23" spans="1:39">
      <c r="A23" s="84"/>
      <c r="H23" s="105"/>
      <c r="J23" s="84"/>
      <c r="X23" s="71" t="s">
        <v>55</v>
      </c>
      <c r="Y23" s="60">
        <f>AM22</f>
        <v>0</v>
      </c>
      <c r="AM23" s="105"/>
    </row>
    <row r="24" spans="1:39">
      <c r="A24" s="84"/>
      <c r="H24" s="105"/>
      <c r="J24" s="84"/>
      <c r="V24" s="128"/>
      <c r="AM24" s="105"/>
    </row>
    <row r="25" spans="1:39" ht="27.75" customHeight="1">
      <c r="A25" s="84"/>
      <c r="H25" s="105"/>
      <c r="J25" s="84"/>
      <c r="X25" s="10" t="s">
        <v>96</v>
      </c>
      <c r="Y25" s="145"/>
      <c r="AM25" s="105"/>
    </row>
    <row r="26" spans="1:39" ht="27.75">
      <c r="A26" s="84"/>
      <c r="H26" s="105"/>
      <c r="J26" s="84"/>
      <c r="X26" s="10" t="s">
        <v>97</v>
      </c>
      <c r="Y26" s="145"/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23"/>
      <c r="Y31" s="524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25"/>
      <c r="Y32" s="526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7" spans="1:9">
      <c r="I37" s="1"/>
    </row>
    <row r="41" spans="1:9">
      <c r="C41">
        <f>822*14.2</f>
        <v>11672.4</v>
      </c>
      <c r="D41" s="1">
        <f>C41-E13</f>
        <v>11672.4</v>
      </c>
      <c r="E41">
        <f>D41*1.42</f>
        <v>16574.807999999997</v>
      </c>
    </row>
    <row r="42" spans="1:9">
      <c r="C42">
        <f>13.3*1412</f>
        <v>18779.600000000002</v>
      </c>
      <c r="D42" s="1">
        <f>C42-C13</f>
        <v>18779.600000000002</v>
      </c>
      <c r="E42">
        <f>D42*1.42</f>
        <v>26667.032000000003</v>
      </c>
    </row>
    <row r="44" spans="1:9">
      <c r="A44" s="224"/>
    </row>
    <row r="45" spans="1:9">
      <c r="A45" s="224"/>
      <c r="B45" s="1"/>
      <c r="C45" s="1"/>
      <c r="D45" s="1"/>
      <c r="G45" s="1"/>
    </row>
    <row r="46" spans="1:9">
      <c r="A46" s="224"/>
      <c r="B46" s="1"/>
      <c r="C46" s="228"/>
      <c r="D46" s="226" t="s">
        <v>99</v>
      </c>
      <c r="E46" s="226" t="s">
        <v>100</v>
      </c>
      <c r="F46" s="226" t="s">
        <v>101</v>
      </c>
      <c r="G46" s="226" t="s">
        <v>100</v>
      </c>
      <c r="H46" s="226" t="s">
        <v>51</v>
      </c>
    </row>
    <row r="47" spans="1:9">
      <c r="A47" s="223"/>
      <c r="C47" s="230" t="s">
        <v>102</v>
      </c>
      <c r="D47" s="226">
        <v>74000</v>
      </c>
      <c r="E47" s="226">
        <v>65224.74</v>
      </c>
      <c r="F47" s="226">
        <f>E47+D47</f>
        <v>139224.74</v>
      </c>
      <c r="G47" s="226">
        <v>76000</v>
      </c>
      <c r="H47" s="226">
        <f>G47+D47</f>
        <v>150000</v>
      </c>
    </row>
    <row r="48" spans="1:9">
      <c r="A48" s="223"/>
      <c r="C48" s="229">
        <v>0.3</v>
      </c>
      <c r="D48" s="226">
        <f>ROUND(D47*0.3,2)</f>
        <v>22200</v>
      </c>
      <c r="E48" s="226">
        <f t="shared" ref="E48:G48" si="4">ROUND(E47*0.3,2)</f>
        <v>19567.419999999998</v>
      </c>
      <c r="F48" s="226">
        <f t="shared" si="4"/>
        <v>41767.42</v>
      </c>
      <c r="G48" s="226">
        <f t="shared" si="4"/>
        <v>22800</v>
      </c>
      <c r="H48" s="226">
        <f t="shared" ref="H48:H49" si="5">G48+D48</f>
        <v>45000</v>
      </c>
    </row>
    <row r="49" spans="1:14">
      <c r="A49" s="223"/>
      <c r="C49" s="229">
        <v>0.7</v>
      </c>
      <c r="D49" s="226">
        <f>ROUND(D47*0.7,2)</f>
        <v>51800</v>
      </c>
      <c r="E49" s="226">
        <f t="shared" ref="E49:G49" si="6">ROUND(E47*0.7,2)</f>
        <v>45657.32</v>
      </c>
      <c r="F49" s="226">
        <f t="shared" si="6"/>
        <v>97457.32</v>
      </c>
      <c r="G49" s="226">
        <f t="shared" si="6"/>
        <v>53200</v>
      </c>
      <c r="H49" s="226">
        <f t="shared" si="5"/>
        <v>105000</v>
      </c>
    </row>
    <row r="50" spans="1:14">
      <c r="C50" s="223"/>
      <c r="E50" s="231">
        <f t="shared" ref="E50:F50" si="7">E48</f>
        <v>19567.419999999998</v>
      </c>
      <c r="F50" s="227">
        <f t="shared" si="7"/>
        <v>41767.42</v>
      </c>
    </row>
    <row r="52" spans="1:14">
      <c r="F52" s="1"/>
    </row>
    <row r="62" spans="1:14">
      <c r="N62" s="223"/>
    </row>
    <row r="63" spans="1:14">
      <c r="N63" s="223"/>
    </row>
    <row r="64" spans="1:14">
      <c r="N64" s="223"/>
    </row>
  </sheetData>
  <mergeCells count="20">
    <mergeCell ref="A1:AE1"/>
    <mergeCell ref="A2:H2"/>
    <mergeCell ref="J2:AM2"/>
    <mergeCell ref="C3:D3"/>
    <mergeCell ref="E3:F3"/>
    <mergeCell ref="G3:H3"/>
    <mergeCell ref="K3:U3"/>
    <mergeCell ref="X3:Y3"/>
    <mergeCell ref="AB3:AL3"/>
    <mergeCell ref="V4:V5"/>
    <mergeCell ref="AM4:AM5"/>
    <mergeCell ref="X6:Y6"/>
    <mergeCell ref="K18:U18"/>
    <mergeCell ref="X18:Y18"/>
    <mergeCell ref="AB18:AL18"/>
    <mergeCell ref="V19:V20"/>
    <mergeCell ref="AM19:AM20"/>
    <mergeCell ref="X21:Y21"/>
    <mergeCell ref="X30:Y30"/>
    <mergeCell ref="X31:Y32"/>
  </mergeCells>
  <pageMargins left="0.7" right="0.7" top="0.75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51455-E3E2-4E80-BB19-9E4A1829083B}">
  <sheetPr>
    <pageSetUpPr fitToPage="1"/>
  </sheetPr>
  <dimension ref="A1:AM83"/>
  <sheetViews>
    <sheetView workbookViewId="0">
      <selection activeCell="A4" sqref="A4"/>
    </sheetView>
  </sheetViews>
  <sheetFormatPr defaultRowHeight="15" outlineLevelRow="1" outlineLevelCol="1"/>
  <cols>
    <col min="1" max="1" width="36.42578125" bestFit="1" customWidth="1"/>
    <col min="2" max="2" width="30.140625" bestFit="1" customWidth="1"/>
    <col min="3" max="4" width="10.7109375" customWidth="1"/>
    <col min="5" max="5" width="10.7109375" hidden="1" customWidth="1" outlineLevel="1"/>
    <col min="6" max="6" width="10.140625" hidden="1" customWidth="1" outlineLevel="1"/>
    <col min="7" max="7" width="10.7109375" customWidth="1" collapsed="1"/>
    <col min="8" max="8" width="10.7109375" customWidth="1"/>
    <col min="9" max="9" width="3.28515625" customWidth="1"/>
    <col min="10" max="10" width="0.5703125" hidden="1" customWidth="1" outlineLevel="1"/>
    <col min="11" max="11" width="10.7109375" customWidth="1" collapsed="1"/>
    <col min="12" max="15" width="10.7109375" customWidth="1"/>
    <col min="16" max="16" width="10.28515625" hidden="1" customWidth="1" outlineLevel="1"/>
    <col min="17" max="20" width="9.140625" hidden="1" customWidth="1" outlineLevel="1"/>
    <col min="21" max="21" width="1" hidden="1" customWidth="1" outlineLevel="1"/>
    <col min="22" max="22" width="9.140625" customWidth="1" collapsed="1"/>
    <col min="23" max="23" width="3" customWidth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customWidth="1"/>
    <col min="32" max="32" width="12.7109375" customWidth="1"/>
    <col min="33" max="38" width="12.7109375" hidden="1" customWidth="1" outlineLevel="1"/>
    <col min="39" max="39" width="12.7109375" customWidth="1" collapsed="1"/>
    <col min="40" max="40" width="12.7109375" customWidth="1"/>
  </cols>
  <sheetData>
    <row r="1" spans="1:39" ht="25.5" customHeight="1">
      <c r="A1" s="237"/>
      <c r="B1" s="237" t="s">
        <v>103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</row>
    <row r="2" spans="1:39" ht="18.75">
      <c r="A2" s="537" t="s">
        <v>35</v>
      </c>
      <c r="B2" s="538"/>
      <c r="C2" s="538"/>
      <c r="D2" s="538"/>
      <c r="E2" s="538"/>
      <c r="F2" s="538"/>
      <c r="G2" s="538"/>
      <c r="H2" s="539"/>
      <c r="I2" s="7"/>
      <c r="J2" s="540" t="s">
        <v>36</v>
      </c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2"/>
    </row>
    <row r="3" spans="1:39" ht="15.75" customHeight="1">
      <c r="A3" s="84"/>
      <c r="C3" s="543"/>
      <c r="D3" s="544"/>
      <c r="E3" s="543"/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39" ht="16.5" customHeight="1">
      <c r="A4" s="85" t="s">
        <v>43</v>
      </c>
      <c r="B4" s="5" t="s">
        <v>44</v>
      </c>
      <c r="C4" s="83">
        <f>G4</f>
        <v>364465.27</v>
      </c>
      <c r="E4" s="83"/>
      <c r="G4" s="153">
        <f>Y10+Y11</f>
        <v>364465.27</v>
      </c>
      <c r="H4" s="235">
        <f>AM6</f>
        <v>0</v>
      </c>
      <c r="J4" s="178" t="s">
        <v>45</v>
      </c>
      <c r="K4" s="32" t="s">
        <v>104</v>
      </c>
      <c r="L4" s="31" t="s">
        <v>105</v>
      </c>
      <c r="M4" s="170" t="s">
        <v>106</v>
      </c>
      <c r="N4" s="170" t="s">
        <v>107</v>
      </c>
      <c r="O4" s="32" t="s">
        <v>108</v>
      </c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N6</f>
        <v>0.8</v>
      </c>
      <c r="Z4" s="116"/>
      <c r="AA4" s="30" t="s">
        <v>45</v>
      </c>
      <c r="AB4" s="32" t="s">
        <v>104</v>
      </c>
      <c r="AC4" s="31" t="s">
        <v>105</v>
      </c>
      <c r="AD4" s="170" t="s">
        <v>106</v>
      </c>
      <c r="AE4" s="170" t="s">
        <v>107</v>
      </c>
      <c r="AF4" s="32" t="s">
        <v>108</v>
      </c>
      <c r="AG4" s="32"/>
      <c r="AH4" s="32"/>
      <c r="AI4" s="32"/>
      <c r="AJ4" s="32"/>
      <c r="AK4" s="32"/>
      <c r="AL4" s="32"/>
      <c r="AM4" s="529" t="s">
        <v>51</v>
      </c>
    </row>
    <row r="5" spans="1:39">
      <c r="A5" s="85" t="s">
        <v>53</v>
      </c>
      <c r="B5" s="5" t="s">
        <v>54</v>
      </c>
      <c r="C5" s="192">
        <f>C6+C7+C8+C9+C10+C11+C13+C14+C16+C15+C12</f>
        <v>0</v>
      </c>
      <c r="D5" s="5"/>
      <c r="E5" s="192">
        <f>E6+E7+E8+E9+E10+E11+E13+E14+E16+E15+E12</f>
        <v>0</v>
      </c>
      <c r="F5" s="5"/>
      <c r="G5" s="154">
        <f>G6+G7+G8+G9+G10+G11+G13+G14+G16+G15+G12</f>
        <v>0</v>
      </c>
      <c r="H5" s="87">
        <f>AM7</f>
        <v>0</v>
      </c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>
        <v>7</v>
      </c>
      <c r="R5" s="80">
        <v>8</v>
      </c>
      <c r="S5" s="80">
        <v>9</v>
      </c>
      <c r="T5" s="80">
        <v>10</v>
      </c>
      <c r="U5" s="36"/>
      <c r="V5" s="528"/>
      <c r="X5" s="37" t="s">
        <v>55</v>
      </c>
      <c r="Y5" s="38">
        <f>N7+V8</f>
        <v>0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88" t="s">
        <v>56</v>
      </c>
      <c r="B6" s="81" t="s">
        <v>57</v>
      </c>
      <c r="C6" s="135"/>
      <c r="D6" s="159">
        <f>C6+C7+C8</f>
        <v>0</v>
      </c>
      <c r="E6" s="159"/>
      <c r="F6" s="156">
        <f>E6+E7+E8</f>
        <v>0</v>
      </c>
      <c r="G6" s="9">
        <f>C6+E6</f>
        <v>0</v>
      </c>
      <c r="H6" s="90">
        <f>G6+G7+G8</f>
        <v>0</v>
      </c>
      <c r="J6" s="180"/>
      <c r="K6" s="40">
        <v>0.2</v>
      </c>
      <c r="L6" s="40">
        <v>0.4</v>
      </c>
      <c r="M6" s="40">
        <v>0.6</v>
      </c>
      <c r="N6" s="40">
        <v>0.8</v>
      </c>
      <c r="O6" s="40">
        <v>1</v>
      </c>
      <c r="P6" s="40"/>
      <c r="Q6" s="40"/>
      <c r="R6" s="40"/>
      <c r="S6" s="40"/>
      <c r="T6" s="40"/>
      <c r="U6" s="41"/>
      <c r="V6" s="40">
        <f>O6</f>
        <v>1</v>
      </c>
      <c r="X6" s="531" t="s">
        <v>58</v>
      </c>
      <c r="Y6" s="532"/>
      <c r="AA6" s="42"/>
      <c r="AB6" s="43">
        <f>AM6/6</f>
        <v>0</v>
      </c>
      <c r="AC6" s="43">
        <f>AB6</f>
        <v>0</v>
      </c>
      <c r="AD6" s="43">
        <f>AB6</f>
        <v>0</v>
      </c>
      <c r="AE6" s="43">
        <f>AD6</f>
        <v>0</v>
      </c>
      <c r="AF6" s="43">
        <f>AE6</f>
        <v>0</v>
      </c>
      <c r="AG6" s="43">
        <f>AF6</f>
        <v>0</v>
      </c>
      <c r="AH6" s="44"/>
      <c r="AI6" s="44"/>
      <c r="AJ6" s="44"/>
      <c r="AK6" s="44"/>
      <c r="AL6" s="44"/>
      <c r="AM6" s="121"/>
    </row>
    <row r="7" spans="1:39">
      <c r="A7" s="91" t="s">
        <v>59</v>
      </c>
      <c r="B7" s="92" t="s">
        <v>60</v>
      </c>
      <c r="C7" s="134"/>
      <c r="D7" s="13"/>
      <c r="E7" s="157"/>
      <c r="F7" s="13"/>
      <c r="G7" s="9">
        <f t="shared" ref="G7:G16" si="0">C7+E7</f>
        <v>0</v>
      </c>
      <c r="H7" s="90"/>
      <c r="J7" s="181"/>
      <c r="K7" s="48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f>O7</f>
        <v>0</v>
      </c>
      <c r="X7" s="49" t="s">
        <v>52</v>
      </c>
      <c r="Y7" s="50" t="e">
        <f>AM6/Y13</f>
        <v>#DIV/0!</v>
      </c>
      <c r="AA7" s="51"/>
      <c r="AB7" s="52"/>
      <c r="AC7" s="53"/>
      <c r="AD7" s="53"/>
      <c r="AE7" s="53"/>
      <c r="AF7" s="53"/>
      <c r="AG7" s="53"/>
      <c r="AH7" s="54"/>
      <c r="AI7" s="54"/>
      <c r="AJ7" s="54"/>
      <c r="AK7" s="54"/>
      <c r="AL7" s="54"/>
      <c r="AM7" s="164">
        <f t="shared" ref="AM7" si="1">AB7+AC7+AD7+AE7+AF7+AG7+AL7+AH7+AI7+AJ7+AK7</f>
        <v>0</v>
      </c>
    </row>
    <row r="8" spans="1:39">
      <c r="A8" s="93" t="s">
        <v>61</v>
      </c>
      <c r="B8" s="82" t="s">
        <v>62</v>
      </c>
      <c r="C8" s="20"/>
      <c r="D8" s="14"/>
      <c r="E8" s="14"/>
      <c r="F8" s="14"/>
      <c r="G8" s="9">
        <f t="shared" si="0"/>
        <v>0</v>
      </c>
      <c r="H8" s="95"/>
      <c r="J8" s="182"/>
      <c r="K8" s="55"/>
      <c r="L8" s="55"/>
      <c r="M8" s="55"/>
      <c r="N8" s="56"/>
      <c r="O8" s="57"/>
      <c r="P8" s="56"/>
      <c r="Q8" s="55"/>
      <c r="R8" s="55"/>
      <c r="S8" s="55"/>
      <c r="T8" s="55"/>
      <c r="U8" s="55"/>
      <c r="V8" s="56">
        <f>SUM(K8:U8)</f>
        <v>0</v>
      </c>
      <c r="X8" s="59" t="s">
        <v>55</v>
      </c>
      <c r="Y8" s="77" t="e">
        <f>AM7/Y13</f>
        <v>#DIV/0!</v>
      </c>
      <c r="AM8" s="105"/>
    </row>
    <row r="9" spans="1:39">
      <c r="A9" s="88" t="s">
        <v>63</v>
      </c>
      <c r="B9" s="81" t="s">
        <v>64</v>
      </c>
      <c r="C9" s="21"/>
      <c r="D9" s="151">
        <f>C9+C10+C11+C13+C12</f>
        <v>0</v>
      </c>
      <c r="E9" s="141"/>
      <c r="F9" s="137">
        <f>E9+E10+E11+E13+E12</f>
        <v>0</v>
      </c>
      <c r="G9" s="24">
        <f t="shared" si="0"/>
        <v>0</v>
      </c>
      <c r="H9" s="96">
        <f>G9+G10+G11+G13+G12</f>
        <v>0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0</v>
      </c>
      <c r="D10" s="13"/>
      <c r="E10" s="156">
        <f>E9*0.2359</f>
        <v>0</v>
      </c>
      <c r="F10" s="89"/>
      <c r="G10" s="25">
        <f t="shared" si="0"/>
        <v>0</v>
      </c>
      <c r="H10" s="95"/>
      <c r="J10" s="84"/>
      <c r="X10" s="10" t="s">
        <v>67</v>
      </c>
      <c r="Y10" s="61">
        <v>364465.27</v>
      </c>
      <c r="AM10" s="105"/>
    </row>
    <row r="11" spans="1:39">
      <c r="A11" s="91" t="s">
        <v>68</v>
      </c>
      <c r="B11" s="92" t="s">
        <v>69</v>
      </c>
      <c r="C11" s="134">
        <f>(C9+C10)*0.08</f>
        <v>0</v>
      </c>
      <c r="D11" s="13"/>
      <c r="E11" s="156">
        <f>(E9+E10)*0.08</f>
        <v>0</v>
      </c>
      <c r="F11" s="89"/>
      <c r="G11" s="25">
        <f t="shared" si="0"/>
        <v>0</v>
      </c>
      <c r="H11" s="95"/>
      <c r="J11" s="84"/>
      <c r="X11" s="62" t="s">
        <v>70</v>
      </c>
      <c r="Y11" s="201"/>
      <c r="AM11" s="105"/>
    </row>
    <row r="12" spans="1:39">
      <c r="A12" s="97" t="s">
        <v>71</v>
      </c>
      <c r="B12" s="98" t="s">
        <v>72</v>
      </c>
      <c r="C12" s="135">
        <f>(C13+C11+C10+C9)*0.07</f>
        <v>0</v>
      </c>
      <c r="D12" s="142"/>
      <c r="E12" s="159">
        <f>(E13+E11+E10+E9)*0.07</f>
        <v>0</v>
      </c>
      <c r="F12" s="131"/>
      <c r="G12" s="25">
        <f t="shared" si="0"/>
        <v>0</v>
      </c>
      <c r="H12" s="95"/>
      <c r="J12" s="84"/>
      <c r="AM12" s="105"/>
    </row>
    <row r="13" spans="1:39">
      <c r="A13" s="91" t="s">
        <v>73</v>
      </c>
      <c r="B13" s="92" t="s">
        <v>74</v>
      </c>
      <c r="C13" s="139"/>
      <c r="D13" s="143"/>
      <c r="E13" s="162"/>
      <c r="F13" s="133"/>
      <c r="G13" s="26">
        <f t="shared" si="0"/>
        <v>0</v>
      </c>
      <c r="H13" s="99"/>
      <c r="J13" s="84"/>
      <c r="X13" s="64" t="s">
        <v>75</v>
      </c>
      <c r="Y13" s="65"/>
      <c r="AM13" s="105"/>
    </row>
    <row r="14" spans="1:39">
      <c r="A14" s="100" t="s">
        <v>76</v>
      </c>
      <c r="B14" s="81" t="s">
        <v>77</v>
      </c>
      <c r="C14" s="19"/>
      <c r="D14" s="156">
        <f>C14+C16+C15</f>
        <v>0</v>
      </c>
      <c r="E14" s="13"/>
      <c r="F14" s="13">
        <f>E14+E16+E15</f>
        <v>0</v>
      </c>
      <c r="G14" s="9">
        <f t="shared" si="0"/>
        <v>0</v>
      </c>
      <c r="H14" s="95">
        <f>G14+G16+G15</f>
        <v>0</v>
      </c>
      <c r="J14" s="84"/>
      <c r="X14" s="66" t="s">
        <v>78</v>
      </c>
      <c r="Y14" s="66" t="s">
        <v>79</v>
      </c>
      <c r="AM14" s="105"/>
    </row>
    <row r="15" spans="1:39">
      <c r="A15" s="101" t="s">
        <v>80</v>
      </c>
      <c r="B15" s="92" t="s">
        <v>81</v>
      </c>
      <c r="C15" s="134"/>
      <c r="D15" s="13"/>
      <c r="E15" s="13"/>
      <c r="F15" s="13"/>
      <c r="G15" s="9">
        <f t="shared" si="0"/>
        <v>0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34"/>
      <c r="D16" s="13"/>
      <c r="E16" s="156"/>
      <c r="F16" s="13"/>
      <c r="G16" s="9">
        <f t="shared" si="0"/>
        <v>0</v>
      </c>
      <c r="H16" s="95"/>
      <c r="J16" s="84"/>
      <c r="X16" s="67" t="s">
        <v>85</v>
      </c>
      <c r="Y16" s="68">
        <v>12</v>
      </c>
      <c r="AM16" s="105"/>
    </row>
    <row r="17" spans="1:39">
      <c r="A17" s="85" t="s">
        <v>86</v>
      </c>
      <c r="B17" s="5" t="s">
        <v>87</v>
      </c>
      <c r="C17" s="185">
        <f>C4-C5</f>
        <v>364465.27</v>
      </c>
      <c r="D17" s="129">
        <f>C17/C4</f>
        <v>1</v>
      </c>
      <c r="E17" s="185">
        <f>E4-E5</f>
        <v>0</v>
      </c>
      <c r="F17" s="130" t="e">
        <f>E17/E4</f>
        <v>#DIV/0!</v>
      </c>
      <c r="G17" s="16">
        <f>G4-G5</f>
        <v>364465.27</v>
      </c>
      <c r="H17" s="102">
        <f>G17/G4</f>
        <v>1</v>
      </c>
      <c r="J17" s="84"/>
      <c r="AM17" s="105"/>
    </row>
    <row r="18" spans="1:39" ht="20.25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33" t="s">
        <v>88</v>
      </c>
      <c r="L18" s="534"/>
      <c r="M18" s="534"/>
      <c r="N18" s="534"/>
      <c r="O18" s="534"/>
      <c r="P18" s="534"/>
      <c r="Q18" s="534"/>
      <c r="R18" s="534"/>
      <c r="S18" s="534"/>
      <c r="T18" s="534"/>
      <c r="U18" s="535"/>
      <c r="V18" s="29"/>
      <c r="X18" s="520" t="s">
        <v>89</v>
      </c>
      <c r="Y18" s="520"/>
      <c r="AA18" s="27" t="s">
        <v>40</v>
      </c>
      <c r="AB18" s="533" t="s">
        <v>90</v>
      </c>
      <c r="AC18" s="534"/>
      <c r="AD18" s="534"/>
      <c r="AE18" s="534"/>
      <c r="AF18" s="534"/>
      <c r="AG18" s="534"/>
      <c r="AH18" s="534"/>
      <c r="AI18" s="534"/>
      <c r="AJ18" s="534"/>
      <c r="AK18" s="534"/>
      <c r="AL18" s="535"/>
      <c r="AM18" s="117"/>
    </row>
    <row r="19" spans="1:39" ht="24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32" t="s">
        <v>104</v>
      </c>
      <c r="L19" s="31" t="s">
        <v>105</v>
      </c>
      <c r="M19" s="170" t="s">
        <v>106</v>
      </c>
      <c r="N19" s="170" t="s">
        <v>107</v>
      </c>
      <c r="O19" s="32" t="s">
        <v>108</v>
      </c>
      <c r="P19" s="32"/>
      <c r="Q19" s="31"/>
      <c r="R19" s="31"/>
      <c r="S19" s="31"/>
      <c r="T19" s="31"/>
      <c r="U19" s="31"/>
      <c r="V19" s="516" t="s">
        <v>51</v>
      </c>
      <c r="X19" s="69" t="s">
        <v>52</v>
      </c>
      <c r="Y19" s="50"/>
      <c r="AA19" s="30" t="s">
        <v>45</v>
      </c>
      <c r="AB19" s="32" t="s">
        <v>104</v>
      </c>
      <c r="AC19" s="31" t="s">
        <v>105</v>
      </c>
      <c r="AD19" s="170" t="s">
        <v>106</v>
      </c>
      <c r="AE19" s="170" t="s">
        <v>107</v>
      </c>
      <c r="AF19" s="32" t="s">
        <v>108</v>
      </c>
      <c r="AG19" s="32"/>
      <c r="AH19" s="31"/>
      <c r="AI19" s="31"/>
      <c r="AJ19" s="31"/>
      <c r="AK19" s="31"/>
      <c r="AL19" s="31"/>
      <c r="AM19" s="518" t="s">
        <v>51</v>
      </c>
    </row>
    <row r="20" spans="1:39">
      <c r="A20" s="108" t="s">
        <v>93</v>
      </c>
      <c r="B20" s="3" t="e">
        <f>H6/G5*100</f>
        <v>#DIV/0!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>
        <v>7</v>
      </c>
      <c r="R20" s="70">
        <v>8</v>
      </c>
      <c r="S20" s="70">
        <v>9</v>
      </c>
      <c r="T20" s="70">
        <v>10</v>
      </c>
      <c r="U20" s="70"/>
      <c r="V20" s="517"/>
      <c r="X20" s="71" t="s">
        <v>55</v>
      </c>
      <c r="Y20" s="60">
        <f>V22</f>
        <v>0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 t="e">
        <f>H9/G5*100</f>
        <v>#DIV/0!</v>
      </c>
      <c r="C21" s="109"/>
      <c r="D21" s="109"/>
      <c r="E21" s="109"/>
      <c r="F21" s="109"/>
      <c r="H21" s="105"/>
      <c r="J21" s="125"/>
      <c r="K21" s="73">
        <f>V21/5</f>
        <v>0</v>
      </c>
      <c r="L21" s="73">
        <f>K21</f>
        <v>0</v>
      </c>
      <c r="M21" s="73">
        <f>K21</f>
        <v>0</v>
      </c>
      <c r="N21" s="73">
        <f>M21</f>
        <v>0</v>
      </c>
      <c r="O21" s="73">
        <f>N21</f>
        <v>0</v>
      </c>
      <c r="P21" s="73"/>
      <c r="Q21" s="73"/>
      <c r="R21" s="73"/>
      <c r="S21" s="73"/>
      <c r="T21" s="73"/>
      <c r="U21" s="73"/>
      <c r="V21" s="74">
        <f>Y19</f>
        <v>0</v>
      </c>
      <c r="X21" s="520" t="s">
        <v>90</v>
      </c>
      <c r="Y21" s="520"/>
      <c r="AA21" s="72"/>
      <c r="AB21" s="73">
        <f>AM21/5</f>
        <v>0</v>
      </c>
      <c r="AC21" s="73">
        <f>AB21</f>
        <v>0</v>
      </c>
      <c r="AD21" s="73">
        <f>AB21</f>
        <v>0</v>
      </c>
      <c r="AE21" s="73">
        <f>AD21</f>
        <v>0</v>
      </c>
      <c r="AF21" s="73">
        <f>AE21</f>
        <v>0</v>
      </c>
      <c r="AG21" s="73"/>
      <c r="AH21" s="73"/>
      <c r="AI21" s="73"/>
      <c r="AJ21" s="73"/>
      <c r="AK21" s="73"/>
      <c r="AL21" s="73"/>
      <c r="AM21" s="126">
        <f>Y22</f>
        <v>0</v>
      </c>
    </row>
    <row r="22" spans="1:39">
      <c r="A22" s="111" t="s">
        <v>95</v>
      </c>
      <c r="B22" s="2" t="e">
        <f>H14/G5*100</f>
        <v>#DIV/0!</v>
      </c>
      <c r="C22" s="109"/>
      <c r="D22" s="109"/>
      <c r="E22" s="109"/>
      <c r="F22" s="109"/>
      <c r="H22" s="105"/>
      <c r="J22" s="12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63">
        <f t="shared" ref="V22" si="2">K22+L22+M22+N22+O22+P22+U22+Q22+R22+S22+T22</f>
        <v>0</v>
      </c>
      <c r="X22" s="69" t="s">
        <v>52</v>
      </c>
      <c r="Y22" s="50"/>
      <c r="AA22" s="72"/>
      <c r="AB22" s="75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165">
        <f t="shared" ref="AM22" si="3">AB22+AC22+AD22+AE22+AF22+AG22+AL22+AH22+AI22+AJ22+AK22</f>
        <v>0</v>
      </c>
    </row>
    <row r="23" spans="1:39">
      <c r="A23" s="84"/>
      <c r="H23" s="105"/>
      <c r="J23" s="84"/>
      <c r="X23" s="71" t="s">
        <v>55</v>
      </c>
      <c r="Y23" s="60">
        <f>AM22</f>
        <v>0</v>
      </c>
      <c r="AM23" s="105"/>
    </row>
    <row r="24" spans="1:39">
      <c r="A24" s="84"/>
      <c r="H24" s="105"/>
      <c r="J24" s="84"/>
      <c r="V24" s="128"/>
      <c r="AM24" s="105"/>
    </row>
    <row r="25" spans="1:39" ht="27.75" customHeight="1">
      <c r="A25" s="84"/>
      <c r="H25" s="105"/>
      <c r="J25" s="84"/>
      <c r="X25" s="10" t="s">
        <v>96</v>
      </c>
      <c r="Y25" s="145"/>
      <c r="AM25" s="105"/>
    </row>
    <row r="26" spans="1:39" ht="27.75">
      <c r="A26" s="84"/>
      <c r="H26" s="105"/>
      <c r="J26" s="84"/>
      <c r="X26" s="10" t="s">
        <v>97</v>
      </c>
      <c r="Y26" s="78"/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23"/>
      <c r="Y31" s="524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25"/>
      <c r="Y32" s="526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7" spans="1:9">
      <c r="I37" s="1"/>
    </row>
    <row r="44" spans="1:9">
      <c r="A44" s="224"/>
    </row>
    <row r="45" spans="1:9">
      <c r="A45" s="224"/>
      <c r="B45" s="1"/>
      <c r="C45" s="1"/>
      <c r="D45" s="1"/>
      <c r="G45" s="1"/>
    </row>
    <row r="46" spans="1:9" hidden="1" outlineLevel="1">
      <c r="A46" s="224"/>
      <c r="B46" s="1"/>
      <c r="C46" s="228"/>
      <c r="D46" s="226" t="s">
        <v>99</v>
      </c>
      <c r="E46" s="226" t="s">
        <v>100</v>
      </c>
      <c r="F46" s="226" t="s">
        <v>101</v>
      </c>
    </row>
    <row r="47" spans="1:9" hidden="1" outlineLevel="1">
      <c r="A47" s="223"/>
      <c r="C47" s="230" t="s">
        <v>109</v>
      </c>
      <c r="D47" s="226">
        <v>32590.97</v>
      </c>
      <c r="E47" s="226">
        <v>65224.74</v>
      </c>
      <c r="F47" s="226">
        <f>E47+D47</f>
        <v>97815.709999999992</v>
      </c>
    </row>
    <row r="48" spans="1:9" hidden="1" outlineLevel="1">
      <c r="A48" s="223"/>
      <c r="C48" s="229">
        <v>0.3</v>
      </c>
      <c r="D48" s="226">
        <f>ROUND(D47*0.3,2)</f>
        <v>9777.2900000000009</v>
      </c>
      <c r="E48" s="226">
        <f t="shared" ref="E48" si="4">ROUND(E47*0.3,2)</f>
        <v>19567.419999999998</v>
      </c>
      <c r="F48" s="226">
        <f>E48+D48</f>
        <v>29344.71</v>
      </c>
    </row>
    <row r="49" spans="1:14" hidden="1" outlineLevel="1">
      <c r="A49" s="223"/>
      <c r="C49" s="229">
        <v>0.4</v>
      </c>
      <c r="D49" s="226">
        <f>ROUND(D47*0.4,2)</f>
        <v>13036.39</v>
      </c>
      <c r="E49" s="228">
        <f t="shared" ref="E49" si="5">ROUND(E47*0.4,2)</f>
        <v>26089.9</v>
      </c>
      <c r="F49" s="228">
        <f>E49+D49</f>
        <v>39126.29</v>
      </c>
    </row>
    <row r="50" spans="1:14" hidden="1" outlineLevel="1">
      <c r="C50" s="229">
        <v>0.3</v>
      </c>
      <c r="D50" s="226">
        <f>D48</f>
        <v>9777.2900000000009</v>
      </c>
      <c r="E50" s="226">
        <f t="shared" ref="E50:F50" si="6">E48</f>
        <v>19567.419999999998</v>
      </c>
      <c r="F50" s="226">
        <f t="shared" si="6"/>
        <v>29344.71</v>
      </c>
    </row>
    <row r="51" spans="1:14" hidden="1" outlineLevel="1"/>
    <row r="52" spans="1:14" hidden="1" outlineLevel="1">
      <c r="A52" t="s">
        <v>110</v>
      </c>
      <c r="F52" s="1"/>
    </row>
    <row r="53" spans="1:14" hidden="1" outlineLevel="1">
      <c r="A53" t="s">
        <v>111</v>
      </c>
      <c r="B53">
        <v>9810899</v>
      </c>
      <c r="C53">
        <f>18942.67+995</f>
        <v>19937.669999999998</v>
      </c>
    </row>
    <row r="54" spans="1:14" hidden="1" outlineLevel="1">
      <c r="B54">
        <v>54846415</v>
      </c>
      <c r="C54">
        <v>23771.54</v>
      </c>
    </row>
    <row r="55" spans="1:14" hidden="1" outlineLevel="1">
      <c r="B55">
        <v>54949441</v>
      </c>
      <c r="C55">
        <v>88.18</v>
      </c>
    </row>
    <row r="56" spans="1:14" hidden="1" outlineLevel="1">
      <c r="B56">
        <v>54949433</v>
      </c>
      <c r="C56">
        <v>423.64</v>
      </c>
    </row>
    <row r="57" spans="1:14" hidden="1" outlineLevel="1">
      <c r="B57">
        <v>54865126</v>
      </c>
      <c r="C57">
        <v>2827.29</v>
      </c>
    </row>
    <row r="58" spans="1:14" hidden="1" outlineLevel="1">
      <c r="B58" t="s">
        <v>112</v>
      </c>
      <c r="C58">
        <f>SUM(C53:C57)</f>
        <v>47048.32</v>
      </c>
      <c r="N58" s="223"/>
    </row>
    <row r="59" spans="1:14" hidden="1" outlineLevel="1">
      <c r="B59" t="s">
        <v>113</v>
      </c>
      <c r="C59" s="1">
        <f>C58*0.09</f>
        <v>4234.3487999999998</v>
      </c>
      <c r="N59" s="223"/>
    </row>
    <row r="60" spans="1:14" hidden="1" outlineLevel="1">
      <c r="N60" s="223"/>
    </row>
    <row r="61" spans="1:14" hidden="1" outlineLevel="1">
      <c r="A61" t="s">
        <v>114</v>
      </c>
    </row>
    <row r="62" spans="1:14" hidden="1" outlineLevel="1">
      <c r="A62" t="s">
        <v>111</v>
      </c>
      <c r="B62">
        <v>55160170</v>
      </c>
      <c r="C62">
        <v>3492.98</v>
      </c>
    </row>
    <row r="63" spans="1:14" hidden="1" outlineLevel="1">
      <c r="B63">
        <v>55145551</v>
      </c>
      <c r="C63">
        <v>1256.02</v>
      </c>
    </row>
    <row r="64" spans="1:14" hidden="1" outlineLevel="1">
      <c r="B64">
        <v>55145544</v>
      </c>
      <c r="C64">
        <v>769.6</v>
      </c>
    </row>
    <row r="65" spans="1:3" hidden="1" outlineLevel="1">
      <c r="B65">
        <v>55129308</v>
      </c>
      <c r="C65">
        <v>5469.82</v>
      </c>
    </row>
    <row r="66" spans="1:3" hidden="1" outlineLevel="1">
      <c r="B66">
        <v>55309603</v>
      </c>
      <c r="C66">
        <v>5055.66</v>
      </c>
    </row>
    <row r="67" spans="1:3" hidden="1" outlineLevel="1">
      <c r="B67">
        <v>55504898</v>
      </c>
      <c r="C67">
        <v>1619.72</v>
      </c>
    </row>
    <row r="68" spans="1:3" hidden="1" outlineLevel="1">
      <c r="B68">
        <v>55252290</v>
      </c>
      <c r="C68">
        <v>506.34</v>
      </c>
    </row>
    <row r="69" spans="1:3" hidden="1" outlineLevel="1">
      <c r="B69">
        <v>55268189</v>
      </c>
      <c r="C69">
        <v>3765.85</v>
      </c>
    </row>
    <row r="70" spans="1:3" hidden="1" outlineLevel="1">
      <c r="B70">
        <v>55537336</v>
      </c>
      <c r="C70">
        <v>892.88</v>
      </c>
    </row>
    <row r="71" spans="1:3" hidden="1" outlineLevel="1">
      <c r="B71">
        <v>55554422</v>
      </c>
      <c r="C71">
        <v>721.22</v>
      </c>
    </row>
    <row r="72" spans="1:3" hidden="1" outlineLevel="1">
      <c r="B72">
        <v>55626949</v>
      </c>
      <c r="C72">
        <v>539.45000000000005</v>
      </c>
    </row>
    <row r="73" spans="1:3" hidden="1" outlineLevel="1">
      <c r="B73">
        <v>55626931</v>
      </c>
      <c r="C73">
        <v>877.68</v>
      </c>
    </row>
    <row r="74" spans="1:3" hidden="1" outlineLevel="1">
      <c r="B74">
        <v>55554414</v>
      </c>
      <c r="C74">
        <v>588.84</v>
      </c>
    </row>
    <row r="75" spans="1:3" hidden="1" outlineLevel="1">
      <c r="B75">
        <v>55537328</v>
      </c>
      <c r="C75">
        <v>3238.31</v>
      </c>
    </row>
    <row r="76" spans="1:3" hidden="1" outlineLevel="1">
      <c r="A76" t="s">
        <v>115</v>
      </c>
      <c r="B76">
        <v>20122159</v>
      </c>
      <c r="C76">
        <v>9750</v>
      </c>
    </row>
    <row r="77" spans="1:3" hidden="1" outlineLevel="1"/>
    <row r="78" spans="1:3" hidden="1" outlineLevel="1">
      <c r="A78" t="s">
        <v>116</v>
      </c>
      <c r="B78">
        <v>10834637</v>
      </c>
      <c r="C78">
        <v>999</v>
      </c>
    </row>
    <row r="79" spans="1:3" hidden="1" outlineLevel="1">
      <c r="B79">
        <v>10854596</v>
      </c>
      <c r="C79">
        <v>488</v>
      </c>
    </row>
    <row r="80" spans="1:3" hidden="1" outlineLevel="1">
      <c r="B80" t="s">
        <v>112</v>
      </c>
      <c r="C80">
        <f>SUM(C62:C79)</f>
        <v>40031.370000000003</v>
      </c>
    </row>
    <row r="81" spans="2:3" hidden="1" outlineLevel="1">
      <c r="B81" t="s">
        <v>113</v>
      </c>
      <c r="C81" s="1">
        <f>C80*0.09</f>
        <v>3602.8233</v>
      </c>
    </row>
    <row r="82" spans="2:3" hidden="1" outlineLevel="1"/>
    <row r="83" spans="2:3" collapsed="1"/>
  </sheetData>
  <mergeCells count="19">
    <mergeCell ref="A2:H2"/>
    <mergeCell ref="J2:AM2"/>
    <mergeCell ref="C3:D3"/>
    <mergeCell ref="E3:F3"/>
    <mergeCell ref="G3:H3"/>
    <mergeCell ref="K3:U3"/>
    <mergeCell ref="X3:Y3"/>
    <mergeCell ref="AB3:AL3"/>
    <mergeCell ref="V4:V5"/>
    <mergeCell ref="AM4:AM5"/>
    <mergeCell ref="X6:Y6"/>
    <mergeCell ref="K18:U18"/>
    <mergeCell ref="X18:Y18"/>
    <mergeCell ref="AB18:AL18"/>
    <mergeCell ref="V19:V20"/>
    <mergeCell ref="AM19:AM20"/>
    <mergeCell ref="X21:Y21"/>
    <mergeCell ref="X30:Y30"/>
    <mergeCell ref="X31:Y32"/>
  </mergeCells>
  <pageMargins left="0.7" right="0.7" top="0.75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6961-5B24-4ED3-A30A-71871B97895B}">
  <sheetPr>
    <pageSetUpPr fitToPage="1"/>
  </sheetPr>
  <dimension ref="A1:AM45"/>
  <sheetViews>
    <sheetView workbookViewId="0">
      <selection activeCell="C12" sqref="C12"/>
    </sheetView>
  </sheetViews>
  <sheetFormatPr defaultRowHeight="15" outlineLevelCol="2"/>
  <cols>
    <col min="1" max="1" width="29.7109375" customWidth="1"/>
    <col min="2" max="2" width="28.7109375" customWidth="1"/>
    <col min="3" max="5" width="10.7109375" customWidth="1"/>
    <col min="6" max="6" width="10.140625" customWidth="1"/>
    <col min="7" max="7" width="10.7109375" customWidth="1"/>
    <col min="8" max="8" width="9.28515625" customWidth="1"/>
    <col min="9" max="9" width="3.28515625" customWidth="1"/>
    <col min="10" max="10" width="0.5703125" hidden="1" customWidth="1" outlineLevel="1"/>
    <col min="11" max="11" width="9.7109375" hidden="1" customWidth="1" outlineLevel="1" collapsed="1"/>
    <col min="12" max="15" width="9.7109375" hidden="1" customWidth="1" outlineLevel="1"/>
    <col min="16" max="16" width="9.140625" hidden="1" customWidth="1" outlineLevel="1"/>
    <col min="17" max="21" width="9.140625" hidden="1" customWidth="1" outlineLevel="2"/>
    <col min="22" max="22" width="8.7109375" hidden="1" customWidth="1" outlineLevel="1" collapsed="1"/>
    <col min="23" max="23" width="2.140625" customWidth="1" collapsed="1"/>
    <col min="24" max="24" width="20" customWidth="1"/>
    <col min="25" max="25" width="14.140625" customWidth="1"/>
    <col min="26" max="26" width="2.85546875" customWidth="1"/>
    <col min="27" max="27" width="20.7109375" hidden="1" customWidth="1" outlineLevel="1"/>
    <col min="28" max="28" width="9.7109375" customWidth="1" collapsed="1"/>
    <col min="29" max="31" width="9.7109375" customWidth="1"/>
    <col min="32" max="32" width="9.5703125" customWidth="1"/>
    <col min="33" max="33" width="12.7109375" customWidth="1"/>
    <col min="34" max="38" width="12.7109375" hidden="1" customWidth="1" outlineLevel="1"/>
    <col min="39" max="39" width="9.5703125" customWidth="1" collapsed="1"/>
    <col min="40" max="40" width="12.7109375" customWidth="1"/>
  </cols>
  <sheetData>
    <row r="1" spans="1:39" ht="25.5" customHeight="1">
      <c r="A1" s="237"/>
      <c r="B1" s="554"/>
      <c r="C1" s="554"/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4"/>
      <c r="AB1" s="554"/>
      <c r="AC1" s="554"/>
      <c r="AD1" s="554"/>
      <c r="AE1" s="554"/>
      <c r="AF1" s="554"/>
      <c r="AG1" s="554"/>
      <c r="AH1" s="554"/>
      <c r="AI1" s="554"/>
      <c r="AJ1" s="554"/>
      <c r="AK1" s="554"/>
      <c r="AL1" s="554"/>
      <c r="AM1" s="554"/>
    </row>
    <row r="2" spans="1:39" ht="18.75">
      <c r="A2" s="555" t="s">
        <v>35</v>
      </c>
      <c r="B2" s="556"/>
      <c r="C2" s="556"/>
      <c r="D2" s="556"/>
      <c r="E2" s="556"/>
      <c r="F2" s="556"/>
      <c r="G2" s="556"/>
      <c r="H2" s="557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</row>
    <row r="3" spans="1:39" ht="30" customHeight="1">
      <c r="A3" s="84"/>
      <c r="C3" s="561"/>
      <c r="D3" s="562"/>
      <c r="E3" s="561"/>
      <c r="F3" s="562"/>
      <c r="G3" s="563" t="s">
        <v>39</v>
      </c>
      <c r="H3" s="564"/>
      <c r="J3" s="177" t="s">
        <v>40</v>
      </c>
      <c r="K3" s="565" t="s">
        <v>41</v>
      </c>
      <c r="L3" s="565"/>
      <c r="M3" s="565"/>
      <c r="N3" s="565"/>
      <c r="O3" s="565"/>
      <c r="P3" s="565"/>
      <c r="Q3" s="565"/>
      <c r="R3" s="565"/>
      <c r="S3" s="565"/>
      <c r="T3" s="565"/>
      <c r="U3" s="565"/>
      <c r="V3" s="171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39" ht="14.25" customHeight="1">
      <c r="A4" s="85" t="s">
        <v>43</v>
      </c>
      <c r="B4" s="5" t="s">
        <v>44</v>
      </c>
      <c r="C4" s="83">
        <f>Y10/2</f>
        <v>0</v>
      </c>
      <c r="E4" s="83">
        <f>C4</f>
        <v>0</v>
      </c>
      <c r="G4" s="153">
        <f>C4+E4+Y11</f>
        <v>0</v>
      </c>
      <c r="H4" s="86">
        <f>D4+F4</f>
        <v>0</v>
      </c>
      <c r="J4" s="178" t="s">
        <v>45</v>
      </c>
      <c r="K4" s="172"/>
      <c r="L4" s="172"/>
      <c r="M4" s="172"/>
      <c r="N4" s="173"/>
      <c r="O4" s="172"/>
      <c r="P4" s="191"/>
      <c r="Q4" s="172"/>
      <c r="R4" s="172"/>
      <c r="S4" s="172"/>
      <c r="T4" s="172"/>
      <c r="U4" s="172"/>
      <c r="V4" s="550" t="s">
        <v>51</v>
      </c>
      <c r="W4" s="116"/>
      <c r="X4" s="33" t="s">
        <v>52</v>
      </c>
      <c r="Y4" s="34">
        <f>N6</f>
        <v>1</v>
      </c>
      <c r="Z4" s="116"/>
      <c r="AA4" s="30" t="s">
        <v>45</v>
      </c>
      <c r="AB4" s="31"/>
      <c r="AC4" s="31"/>
      <c r="AD4" s="31"/>
      <c r="AE4" s="170"/>
      <c r="AF4" s="32"/>
      <c r="AG4" s="191"/>
      <c r="AH4" s="32"/>
      <c r="AI4" s="32"/>
      <c r="AJ4" s="32"/>
      <c r="AK4" s="32"/>
      <c r="AL4" s="32"/>
      <c r="AM4" s="529" t="s">
        <v>51</v>
      </c>
    </row>
    <row r="5" spans="1:39">
      <c r="A5" s="85" t="s">
        <v>53</v>
      </c>
      <c r="B5" s="5" t="s">
        <v>54</v>
      </c>
      <c r="C5" s="192">
        <f>C6+C7+C8+C9+C10+C11+C13+C14+C16+C15+C12</f>
        <v>0</v>
      </c>
      <c r="D5" s="5"/>
      <c r="E5" s="192">
        <f>E6+E7+E8+E9+E10+E11+E13+E14+E16+E15+E12</f>
        <v>0</v>
      </c>
      <c r="F5" s="5"/>
      <c r="G5" s="154">
        <f>G6+G7+G8+G9+G10+G11+G13+G14+G16+G15+G12+G17</f>
        <v>0</v>
      </c>
      <c r="H5" s="87"/>
      <c r="J5" s="179"/>
      <c r="K5" s="174">
        <v>1</v>
      </c>
      <c r="L5" s="174">
        <v>2</v>
      </c>
      <c r="M5" s="174">
        <v>3</v>
      </c>
      <c r="N5" s="174">
        <v>4</v>
      </c>
      <c r="O5" s="174">
        <v>5</v>
      </c>
      <c r="P5" s="174">
        <v>6</v>
      </c>
      <c r="Q5" s="174"/>
      <c r="R5" s="174"/>
      <c r="S5" s="174"/>
      <c r="T5" s="174"/>
      <c r="U5" s="174"/>
      <c r="V5" s="550"/>
      <c r="X5" s="37" t="s">
        <v>55</v>
      </c>
      <c r="Y5" s="38" t="e">
        <f>V7+V8</f>
        <v>#DIV/0!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88" t="s">
        <v>56</v>
      </c>
      <c r="B6" s="81" t="s">
        <v>57</v>
      </c>
      <c r="C6" s="135"/>
      <c r="D6" s="13">
        <f>C6+C7+C8</f>
        <v>0</v>
      </c>
      <c r="E6" s="142"/>
      <c r="F6" s="13">
        <f>E6+E7+E8</f>
        <v>0</v>
      </c>
      <c r="G6" s="9">
        <f>C6+E6</f>
        <v>0</v>
      </c>
      <c r="H6" s="90">
        <f>G6+G7+G8</f>
        <v>0</v>
      </c>
      <c r="J6" s="180"/>
      <c r="K6" s="40">
        <v>0.25</v>
      </c>
      <c r="L6" s="40">
        <v>0.5</v>
      </c>
      <c r="M6" s="40">
        <v>0.75</v>
      </c>
      <c r="N6" s="40">
        <v>1</v>
      </c>
      <c r="O6" s="40"/>
      <c r="P6" s="40"/>
      <c r="Q6" s="40"/>
      <c r="R6" s="40"/>
      <c r="S6" s="40"/>
      <c r="T6" s="40"/>
      <c r="U6" s="40"/>
      <c r="V6" s="40">
        <f>N6</f>
        <v>1</v>
      </c>
      <c r="X6" s="531" t="s">
        <v>58</v>
      </c>
      <c r="Y6" s="532"/>
      <c r="AA6" s="42"/>
      <c r="AB6" s="43">
        <f>AM6/4</f>
        <v>0</v>
      </c>
      <c r="AC6" s="43">
        <f>AB6</f>
        <v>0</v>
      </c>
      <c r="AD6" s="43">
        <f>AB6</f>
        <v>0</v>
      </c>
      <c r="AE6" s="43">
        <f>AD6</f>
        <v>0</v>
      </c>
      <c r="AF6" s="43"/>
      <c r="AG6" s="469"/>
      <c r="AH6" s="470"/>
      <c r="AI6" s="470"/>
      <c r="AJ6" s="470"/>
      <c r="AK6" s="470"/>
      <c r="AL6" s="470"/>
      <c r="AM6" s="471"/>
    </row>
    <row r="7" spans="1:39">
      <c r="A7" s="91" t="s">
        <v>59</v>
      </c>
      <c r="B7" s="92" t="s">
        <v>60</v>
      </c>
      <c r="C7" s="22"/>
      <c r="D7" s="13"/>
      <c r="E7" s="156"/>
      <c r="F7" s="13"/>
      <c r="G7" s="9">
        <f t="shared" ref="G7:G16" si="0">C7+E7</f>
        <v>0</v>
      </c>
      <c r="H7" s="90"/>
      <c r="J7" s="181"/>
      <c r="K7" s="175"/>
      <c r="L7" s="176"/>
      <c r="M7" s="176"/>
      <c r="N7" s="176"/>
      <c r="O7" s="176"/>
      <c r="P7" s="176"/>
      <c r="Q7" s="176"/>
      <c r="R7" s="176"/>
      <c r="S7" s="176"/>
      <c r="T7" s="176"/>
      <c r="U7" s="175"/>
      <c r="V7" s="175">
        <f>P7</f>
        <v>0</v>
      </c>
      <c r="X7" s="49" t="s">
        <v>52</v>
      </c>
      <c r="Y7" s="50" t="e">
        <f>AM6/Y13</f>
        <v>#DIV/0!</v>
      </c>
      <c r="AA7" s="51"/>
      <c r="AB7" s="52"/>
      <c r="AC7" s="53"/>
      <c r="AD7" s="53"/>
      <c r="AE7" s="53"/>
      <c r="AF7" s="53"/>
      <c r="AG7" s="53"/>
      <c r="AH7" s="54"/>
      <c r="AI7" s="54"/>
      <c r="AJ7" s="54"/>
      <c r="AK7" s="54"/>
      <c r="AL7" s="54"/>
      <c r="AM7" s="167">
        <f>AB7+AC7+AD7+AE7+AF7+AG7+AL7+AH7+AI7+AJ7+AK7</f>
        <v>0</v>
      </c>
    </row>
    <row r="8" spans="1:39">
      <c r="A8" s="93" t="s">
        <v>61</v>
      </c>
      <c r="B8" s="82" t="s">
        <v>62</v>
      </c>
      <c r="C8" s="152"/>
      <c r="D8" s="14"/>
      <c r="E8" s="196"/>
      <c r="F8" s="14"/>
      <c r="G8" s="9">
        <f t="shared" si="0"/>
        <v>0</v>
      </c>
      <c r="H8" s="95"/>
      <c r="J8" s="182"/>
      <c r="K8" s="55"/>
      <c r="L8" s="55"/>
      <c r="M8" s="55"/>
      <c r="N8" s="56"/>
      <c r="O8" s="57"/>
      <c r="P8" s="56" t="e">
        <f>Y11/Y10</f>
        <v>#DIV/0!</v>
      </c>
      <c r="Q8" s="58"/>
      <c r="R8" s="58"/>
      <c r="S8" s="58"/>
      <c r="T8" s="58"/>
      <c r="U8" s="58"/>
      <c r="V8" s="56" t="e">
        <f>P8</f>
        <v>#DIV/0!</v>
      </c>
      <c r="X8" s="59" t="s">
        <v>55</v>
      </c>
      <c r="Y8" s="77" t="e">
        <f>AM7/Y13</f>
        <v>#DIV/0!</v>
      </c>
      <c r="AM8" s="105"/>
    </row>
    <row r="9" spans="1:39">
      <c r="A9" s="88" t="s">
        <v>63</v>
      </c>
      <c r="B9" s="81" t="s">
        <v>64</v>
      </c>
      <c r="C9" s="169"/>
      <c r="D9" s="151">
        <f>C9+C10+C11+C13+C12</f>
        <v>0</v>
      </c>
      <c r="E9" s="160"/>
      <c r="F9" s="137">
        <f>E9+E10+E11+E13+E12</f>
        <v>0</v>
      </c>
      <c r="G9" s="24">
        <f t="shared" si="0"/>
        <v>0</v>
      </c>
      <c r="H9" s="96">
        <f>G9+G10+G11+G13+G12</f>
        <v>0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0</v>
      </c>
      <c r="D10" s="13"/>
      <c r="E10" s="156">
        <f>E9*0.2359</f>
        <v>0</v>
      </c>
      <c r="F10" s="89"/>
      <c r="G10" s="25">
        <f t="shared" si="0"/>
        <v>0</v>
      </c>
      <c r="H10" s="95"/>
      <c r="J10" s="84"/>
      <c r="X10" s="10" t="s">
        <v>67</v>
      </c>
      <c r="Y10" s="146"/>
      <c r="AM10" s="105"/>
    </row>
    <row r="11" spans="1:39">
      <c r="A11" s="91" t="s">
        <v>68</v>
      </c>
      <c r="B11" s="92" t="s">
        <v>69</v>
      </c>
      <c r="C11" s="135">
        <f>(C9+C10)*0.08</f>
        <v>0</v>
      </c>
      <c r="D11" s="142"/>
      <c r="E11" s="159">
        <f>(E9+E10)*0.08</f>
        <v>0</v>
      </c>
      <c r="F11" s="89"/>
      <c r="G11" s="25">
        <f t="shared" si="0"/>
        <v>0</v>
      </c>
      <c r="H11" s="95"/>
      <c r="J11" s="84"/>
      <c r="X11" s="62" t="s">
        <v>70</v>
      </c>
      <c r="Y11" s="201"/>
      <c r="AM11" s="105"/>
    </row>
    <row r="12" spans="1:39">
      <c r="A12" s="97" t="s">
        <v>71</v>
      </c>
      <c r="B12" s="98" t="s">
        <v>72</v>
      </c>
      <c r="C12" s="135">
        <f>(C13+C11+C10+C9)*0.07</f>
        <v>0</v>
      </c>
      <c r="D12" s="142"/>
      <c r="E12" s="159">
        <f>(E13+E11+E10+E9)*0.07</f>
        <v>0</v>
      </c>
      <c r="F12" s="131"/>
      <c r="G12" s="25">
        <f t="shared" si="0"/>
        <v>0</v>
      </c>
      <c r="H12" s="95"/>
      <c r="J12" s="84"/>
      <c r="AM12" s="105"/>
    </row>
    <row r="13" spans="1:39">
      <c r="A13" s="91" t="s">
        <v>73</v>
      </c>
      <c r="B13" s="92" t="s">
        <v>74</v>
      </c>
      <c r="C13" s="139"/>
      <c r="D13" s="143"/>
      <c r="E13" s="195"/>
      <c r="F13" s="133"/>
      <c r="G13" s="26">
        <f t="shared" si="0"/>
        <v>0</v>
      </c>
      <c r="H13" s="99"/>
      <c r="J13" s="84"/>
      <c r="X13" s="64" t="s">
        <v>75</v>
      </c>
      <c r="Y13" s="382"/>
      <c r="AM13" s="105"/>
    </row>
    <row r="14" spans="1:39">
      <c r="A14" s="100" t="s">
        <v>76</v>
      </c>
      <c r="B14" s="81" t="s">
        <v>77</v>
      </c>
      <c r="C14" s="22"/>
      <c r="D14" s="13">
        <f>C14+C16+C15</f>
        <v>0</v>
      </c>
      <c r="E14" s="159"/>
      <c r="F14" s="13">
        <f>E14+E16+E15</f>
        <v>0</v>
      </c>
      <c r="G14" s="9">
        <f t="shared" si="0"/>
        <v>0</v>
      </c>
      <c r="H14" s="95">
        <f>G14+G16+G15+G17</f>
        <v>0</v>
      </c>
      <c r="J14" s="84"/>
      <c r="X14" s="66" t="s">
        <v>78</v>
      </c>
      <c r="Y14" s="183" t="s">
        <v>79</v>
      </c>
      <c r="AM14" s="105"/>
    </row>
    <row r="15" spans="1:39" ht="18" customHeight="1">
      <c r="A15" s="101" t="s">
        <v>80</v>
      </c>
      <c r="B15" s="92" t="s">
        <v>81</v>
      </c>
      <c r="C15" s="135"/>
      <c r="D15" s="13"/>
      <c r="E15" s="142"/>
      <c r="F15" s="13"/>
      <c r="G15" s="9">
        <f t="shared" si="0"/>
        <v>0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34"/>
      <c r="D16" s="13"/>
      <c r="E16" s="156"/>
      <c r="F16" s="13"/>
      <c r="G16" s="9">
        <f t="shared" si="0"/>
        <v>0</v>
      </c>
      <c r="H16" s="95"/>
      <c r="J16" s="84"/>
      <c r="X16" s="67" t="s">
        <v>85</v>
      </c>
      <c r="Y16" s="68">
        <v>12</v>
      </c>
      <c r="AM16" s="105"/>
    </row>
    <row r="17" spans="1:39">
      <c r="A17" s="204"/>
      <c r="B17" s="205"/>
      <c r="C17" s="206"/>
      <c r="D17" s="207"/>
      <c r="E17" s="208"/>
      <c r="F17" s="209"/>
      <c r="G17" s="211"/>
      <c r="H17" s="95"/>
      <c r="J17" s="84"/>
      <c r="X17" s="202"/>
      <c r="Y17" s="203"/>
      <c r="AM17" s="105"/>
    </row>
    <row r="18" spans="1:39">
      <c r="A18" s="85" t="s">
        <v>86</v>
      </c>
      <c r="B18" s="5" t="s">
        <v>87</v>
      </c>
      <c r="C18" s="185">
        <f>C4-C5</f>
        <v>0</v>
      </c>
      <c r="D18" s="129" t="e">
        <f>C18/C4</f>
        <v>#DIV/0!</v>
      </c>
      <c r="E18" s="185">
        <f>E4-E5</f>
        <v>0</v>
      </c>
      <c r="F18" s="130" t="e">
        <f>E18/E4</f>
        <v>#DIV/0!</v>
      </c>
      <c r="G18" s="16">
        <f>G4-G5</f>
        <v>0</v>
      </c>
      <c r="H18" s="102" t="e">
        <f>G18/G4</f>
        <v>#DIV/0!</v>
      </c>
      <c r="J18" s="84"/>
      <c r="AM18" s="105"/>
    </row>
    <row r="19" spans="1:39" ht="18.75" customHeight="1">
      <c r="A19" s="103"/>
      <c r="B19" s="104"/>
      <c r="C19" s="104"/>
      <c r="D19" s="104"/>
      <c r="E19" s="104"/>
      <c r="F19" s="104"/>
      <c r="H19" s="105"/>
      <c r="J19" s="115" t="s">
        <v>40</v>
      </c>
      <c r="K19" s="551" t="s">
        <v>88</v>
      </c>
      <c r="L19" s="552"/>
      <c r="M19" s="552"/>
      <c r="N19" s="552"/>
      <c r="O19" s="552"/>
      <c r="P19" s="552"/>
      <c r="Q19" s="552"/>
      <c r="R19" s="552"/>
      <c r="S19" s="552"/>
      <c r="T19" s="552"/>
      <c r="U19" s="553"/>
      <c r="V19" s="29"/>
      <c r="X19" s="520" t="s">
        <v>89</v>
      </c>
      <c r="Y19" s="520"/>
      <c r="AA19" s="27" t="s">
        <v>40</v>
      </c>
      <c r="AB19" s="533" t="s">
        <v>90</v>
      </c>
      <c r="AC19" s="534"/>
      <c r="AD19" s="534"/>
      <c r="AE19" s="534"/>
      <c r="AF19" s="534"/>
      <c r="AG19" s="534"/>
      <c r="AH19" s="534"/>
      <c r="AI19" s="534"/>
      <c r="AJ19" s="534"/>
      <c r="AK19" s="534"/>
      <c r="AL19" s="535"/>
      <c r="AM19" s="117"/>
    </row>
    <row r="20" spans="1:39" ht="15.75" customHeight="1">
      <c r="A20" s="106" t="s">
        <v>91</v>
      </c>
      <c r="B20" s="4" t="s">
        <v>92</v>
      </c>
      <c r="C20" s="107"/>
      <c r="D20" s="107"/>
      <c r="E20" s="107"/>
      <c r="F20" s="107"/>
      <c r="H20" s="105"/>
      <c r="J20" s="118" t="s">
        <v>45</v>
      </c>
      <c r="K20" s="31"/>
      <c r="L20" s="31"/>
      <c r="M20" s="31"/>
      <c r="N20" s="170"/>
      <c r="O20" s="32"/>
      <c r="P20" s="191"/>
      <c r="Q20" s="31"/>
      <c r="R20" s="31"/>
      <c r="S20" s="31"/>
      <c r="T20" s="31"/>
      <c r="U20" s="31"/>
      <c r="V20" s="516" t="s">
        <v>51</v>
      </c>
      <c r="X20" s="69" t="s">
        <v>52</v>
      </c>
      <c r="Y20" s="383"/>
      <c r="AA20" s="30" t="s">
        <v>45</v>
      </c>
      <c r="AB20" s="31"/>
      <c r="AC20" s="31"/>
      <c r="AD20" s="31"/>
      <c r="AE20" s="170"/>
      <c r="AF20" s="32"/>
      <c r="AG20" s="191"/>
      <c r="AH20" s="31"/>
      <c r="AI20" s="31"/>
      <c r="AJ20" s="31"/>
      <c r="AK20" s="31"/>
      <c r="AL20" s="31"/>
      <c r="AM20" s="518" t="s">
        <v>51</v>
      </c>
    </row>
    <row r="21" spans="1:39" ht="25.5">
      <c r="A21" s="108" t="s">
        <v>93</v>
      </c>
      <c r="B21" s="3" t="e">
        <f>H6/G5*100</f>
        <v>#DIV/0!</v>
      </c>
      <c r="C21" s="109"/>
      <c r="D21" s="109"/>
      <c r="E21" s="109"/>
      <c r="F21" s="109"/>
      <c r="H21" s="105"/>
      <c r="J21" s="118"/>
      <c r="K21" s="70">
        <v>1</v>
      </c>
      <c r="L21" s="70">
        <v>2</v>
      </c>
      <c r="M21" s="70">
        <v>3</v>
      </c>
      <c r="N21" s="70">
        <v>4</v>
      </c>
      <c r="O21" s="70">
        <v>5</v>
      </c>
      <c r="P21" s="70">
        <v>6</v>
      </c>
      <c r="Q21" s="70"/>
      <c r="R21" s="70"/>
      <c r="S21" s="70"/>
      <c r="T21" s="70"/>
      <c r="U21" s="70"/>
      <c r="V21" s="517"/>
      <c r="X21" s="71" t="s">
        <v>55</v>
      </c>
      <c r="Y21" s="77">
        <f>V23</f>
        <v>0</v>
      </c>
      <c r="AA21" s="30"/>
      <c r="AB21" s="70">
        <v>1</v>
      </c>
      <c r="AC21" s="70">
        <v>2</v>
      </c>
      <c r="AD21" s="70">
        <v>3</v>
      </c>
      <c r="AE21" s="70">
        <v>4</v>
      </c>
      <c r="AF21" s="70">
        <v>5</v>
      </c>
      <c r="AG21" s="70">
        <v>6</v>
      </c>
      <c r="AH21" s="70">
        <v>7</v>
      </c>
      <c r="AI21" s="70">
        <v>8</v>
      </c>
      <c r="AJ21" s="70">
        <v>9</v>
      </c>
      <c r="AK21" s="70">
        <v>10</v>
      </c>
      <c r="AL21" s="70">
        <v>11</v>
      </c>
      <c r="AM21" s="519"/>
    </row>
    <row r="22" spans="1:39">
      <c r="A22" s="110" t="s">
        <v>94</v>
      </c>
      <c r="B22" s="3" t="e">
        <f>H9/G5*100</f>
        <v>#DIV/0!</v>
      </c>
      <c r="C22" s="109"/>
      <c r="D22" s="109"/>
      <c r="E22" s="109"/>
      <c r="F22" s="109"/>
      <c r="H22" s="105"/>
      <c r="J22" s="125"/>
      <c r="K22" s="73">
        <f>V22/4</f>
        <v>0</v>
      </c>
      <c r="L22" s="73">
        <f>K22</f>
        <v>0</v>
      </c>
      <c r="M22" s="73">
        <f>K22</f>
        <v>0</v>
      </c>
      <c r="N22" s="73">
        <f>M22</f>
        <v>0</v>
      </c>
      <c r="O22" s="73"/>
      <c r="P22" s="73"/>
      <c r="Q22" s="73"/>
      <c r="R22" s="73"/>
      <c r="S22" s="73"/>
      <c r="T22" s="73"/>
      <c r="U22" s="73"/>
      <c r="V22" s="74">
        <f>Y20</f>
        <v>0</v>
      </c>
      <c r="X22" s="520" t="s">
        <v>90</v>
      </c>
      <c r="Y22" s="520"/>
      <c r="AA22" s="72"/>
      <c r="AB22" s="73">
        <f>AM22/4</f>
        <v>0</v>
      </c>
      <c r="AC22" s="73">
        <f>AB22</f>
        <v>0</v>
      </c>
      <c r="AD22" s="73">
        <f>AC22</f>
        <v>0</v>
      </c>
      <c r="AE22" s="73">
        <f>AD22</f>
        <v>0</v>
      </c>
      <c r="AF22" s="73"/>
      <c r="AG22" s="73"/>
      <c r="AH22" s="73"/>
      <c r="AI22" s="73"/>
      <c r="AJ22" s="73"/>
      <c r="AK22" s="73"/>
      <c r="AL22" s="73"/>
      <c r="AM22" s="362">
        <f>Y23</f>
        <v>0</v>
      </c>
    </row>
    <row r="23" spans="1:39">
      <c r="A23" s="111" t="s">
        <v>95</v>
      </c>
      <c r="B23" s="2" t="e">
        <f>H14/G5*100</f>
        <v>#DIV/0!</v>
      </c>
      <c r="C23" s="109"/>
      <c r="D23" s="109"/>
      <c r="E23" s="109"/>
      <c r="F23" s="109"/>
      <c r="H23" s="105"/>
      <c r="J23" s="125"/>
      <c r="K23" s="75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163">
        <f t="shared" ref="V23" si="1">K23+L23+M23+N23+O23+P23+U23+Q23+R23+S23+T23</f>
        <v>0</v>
      </c>
      <c r="X23" s="69" t="s">
        <v>52</v>
      </c>
      <c r="Y23" s="383"/>
      <c r="AA23" s="72"/>
      <c r="AB23" s="75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165">
        <f t="shared" ref="AM23" si="2">AB23+AC23+AD23+AE23+AF23+AG23+AL23+AH23+AI23+AJ23+AK23</f>
        <v>0</v>
      </c>
    </row>
    <row r="24" spans="1:39">
      <c r="A24" s="84"/>
      <c r="H24" s="105"/>
      <c r="J24" s="84"/>
      <c r="X24" s="71" t="s">
        <v>55</v>
      </c>
      <c r="Y24" s="77">
        <f>AM23</f>
        <v>0</v>
      </c>
      <c r="AM24" s="105"/>
    </row>
    <row r="25" spans="1:39">
      <c r="A25" s="84"/>
      <c r="H25" s="105"/>
      <c r="J25" s="84"/>
      <c r="V25" s="128"/>
      <c r="AM25" s="105"/>
    </row>
    <row r="26" spans="1:39" ht="27.75">
      <c r="A26" s="84"/>
      <c r="H26" s="105"/>
      <c r="J26" s="84"/>
      <c r="X26" s="10" t="s">
        <v>96</v>
      </c>
      <c r="Y26" s="145"/>
      <c r="AM26" s="105"/>
    </row>
    <row r="27" spans="1:39" ht="27.75">
      <c r="A27" s="84"/>
      <c r="H27" s="105"/>
      <c r="J27" s="84"/>
      <c r="X27" s="10" t="s">
        <v>97</v>
      </c>
      <c r="Y27" s="145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AM30" s="105"/>
    </row>
    <row r="31" spans="1:39">
      <c r="A31" s="84"/>
      <c r="H31" s="105"/>
      <c r="J31" s="84"/>
      <c r="X31" s="521" t="s">
        <v>98</v>
      </c>
      <c r="Y31" s="522"/>
      <c r="AM31" s="105"/>
    </row>
    <row r="32" spans="1:39">
      <c r="A32" s="84"/>
      <c r="H32" s="105"/>
      <c r="J32" s="84"/>
      <c r="X32" s="523"/>
      <c r="Y32" s="524"/>
      <c r="AM32" s="105"/>
    </row>
    <row r="33" spans="1:39">
      <c r="A33" s="112"/>
      <c r="B33" s="113"/>
      <c r="C33" s="113"/>
      <c r="D33" s="113"/>
      <c r="E33" s="113"/>
      <c r="F33" s="113"/>
      <c r="G33" s="113"/>
      <c r="H33" s="114"/>
      <c r="J33" s="112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525"/>
      <c r="Y33" s="526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4"/>
    </row>
    <row r="36" spans="1:39">
      <c r="A36" s="224" t="s">
        <v>117</v>
      </c>
      <c r="B36" s="223">
        <v>0.3</v>
      </c>
      <c r="C36" s="223">
        <v>0.6</v>
      </c>
      <c r="D36" s="223">
        <v>0.1</v>
      </c>
      <c r="E36" t="s">
        <v>118</v>
      </c>
    </row>
    <row r="37" spans="1:39">
      <c r="A37">
        <v>344777.91</v>
      </c>
      <c r="B37">
        <f>ROUND($A$37*0.3,2)</f>
        <v>103433.37</v>
      </c>
      <c r="C37">
        <f>ROUND($A$37*0.6,2)</f>
        <v>206866.75</v>
      </c>
      <c r="D37">
        <f>ROUND($A$37*0.1,2)</f>
        <v>34477.79</v>
      </c>
      <c r="E37">
        <f>D37+C37+B37</f>
        <v>344777.91000000003</v>
      </c>
    </row>
    <row r="38" spans="1:39">
      <c r="A38">
        <v>377423.34</v>
      </c>
      <c r="B38" s="1">
        <f>ROUND($A$38*0.3,2)</f>
        <v>113227</v>
      </c>
      <c r="C38" s="1">
        <f>ROUND($A$38*0.6,2)</f>
        <v>226454</v>
      </c>
      <c r="D38" s="1">
        <f>ROUND($A$38*0.1,2)</f>
        <v>37742.33</v>
      </c>
      <c r="E38" s="1">
        <f>D38+C38+B38</f>
        <v>377423.33</v>
      </c>
    </row>
    <row r="39" spans="1:39">
      <c r="A39" s="363">
        <v>11.493</v>
      </c>
      <c r="B39" s="363" t="s">
        <v>119</v>
      </c>
      <c r="I39" s="1"/>
    </row>
    <row r="40" spans="1:39">
      <c r="A40" s="1">
        <f>ROUND(A37/$A$39,2)</f>
        <v>29998.95</v>
      </c>
      <c r="B40" s="1">
        <f>ROUND(B37/$A$39,2)</f>
        <v>8999.68</v>
      </c>
      <c r="C40" s="1">
        <f t="shared" ref="B40:E41" si="3">ROUND(C37/$A$39,2)</f>
        <v>17999.37</v>
      </c>
      <c r="D40" s="1">
        <f t="shared" si="3"/>
        <v>2999.89</v>
      </c>
      <c r="E40" s="1">
        <f>SUM(B40:D40)</f>
        <v>29998.94</v>
      </c>
    </row>
    <row r="41" spans="1:39">
      <c r="A41" s="1">
        <f>ROUND(A38/$A$39,2)</f>
        <v>32839.410000000003</v>
      </c>
      <c r="B41" s="1">
        <f t="shared" si="3"/>
        <v>9851.82</v>
      </c>
      <c r="C41" s="1">
        <f t="shared" si="3"/>
        <v>19703.650000000001</v>
      </c>
      <c r="D41" s="1">
        <f t="shared" si="3"/>
        <v>3283.94</v>
      </c>
      <c r="E41" s="1">
        <f>SUM(B41:D41)</f>
        <v>32839.410000000003</v>
      </c>
    </row>
    <row r="42" spans="1:39">
      <c r="A42" t="s">
        <v>120</v>
      </c>
    </row>
    <row r="43" spans="1:39">
      <c r="A43">
        <v>11.62</v>
      </c>
    </row>
    <row r="44" spans="1:39">
      <c r="A44">
        <f>ROUND((A37+A38)/A43,2)</f>
        <v>62151.57</v>
      </c>
    </row>
    <row r="45" spans="1:39">
      <c r="A45" s="1">
        <f>A40+A41-A44</f>
        <v>686.79000000000087</v>
      </c>
    </row>
  </sheetData>
  <mergeCells count="20">
    <mergeCell ref="B1:AM1"/>
    <mergeCell ref="A2:H2"/>
    <mergeCell ref="J2:AM2"/>
    <mergeCell ref="C3:D3"/>
    <mergeCell ref="E3:F3"/>
    <mergeCell ref="G3:H3"/>
    <mergeCell ref="K3:U3"/>
    <mergeCell ref="X3:Y3"/>
    <mergeCell ref="AB3:AL3"/>
    <mergeCell ref="V4:V5"/>
    <mergeCell ref="AM4:AM5"/>
    <mergeCell ref="X6:Y6"/>
    <mergeCell ref="K19:U19"/>
    <mergeCell ref="X19:Y19"/>
    <mergeCell ref="AB19:AL19"/>
    <mergeCell ref="V20:V21"/>
    <mergeCell ref="AM20:AM21"/>
    <mergeCell ref="X22:Y22"/>
    <mergeCell ref="X31:Y31"/>
    <mergeCell ref="X32:Y33"/>
  </mergeCells>
  <conditionalFormatting sqref="Y8">
    <cfRule type="cellIs" dxfId="40" priority="3" operator="greaterThan">
      <formula>$Y$7</formula>
    </cfRule>
  </conditionalFormatting>
  <conditionalFormatting sqref="Y21">
    <cfRule type="cellIs" dxfId="39" priority="2" operator="greaterThan">
      <formula>$Y$20</formula>
    </cfRule>
  </conditionalFormatting>
  <conditionalFormatting sqref="Y24">
    <cfRule type="cellIs" dxfId="38" priority="1" operator="greaterThan">
      <formula>$Y$23</formula>
    </cfRule>
  </conditionalFormatting>
  <pageMargins left="0.7" right="0.7" top="0.75" bottom="0.75" header="0.3" footer="0.3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62300-7673-4A40-B5DB-6E3F83BC93EC}">
  <sheetPr>
    <pageSetUpPr fitToPage="1"/>
  </sheetPr>
  <dimension ref="A1:AO36"/>
  <sheetViews>
    <sheetView workbookViewId="0">
      <selection activeCell="B1" sqref="B1"/>
    </sheetView>
  </sheetViews>
  <sheetFormatPr defaultRowHeight="15" outlineLevelCol="2"/>
  <cols>
    <col min="1" max="1" width="36.42578125" bestFit="1" customWidth="1"/>
    <col min="2" max="2" width="30.140625" bestFit="1" customWidth="1"/>
    <col min="3" max="3" width="11.5703125" customWidth="1"/>
    <col min="4" max="4" width="10.7109375" customWidth="1"/>
    <col min="5" max="5" width="10.7109375" hidden="1" customWidth="1" outlineLevel="1"/>
    <col min="6" max="6" width="10.140625" hidden="1" customWidth="1" outlineLevel="1"/>
    <col min="7" max="7" width="9.42578125" hidden="1" customWidth="1" outlineLevel="1"/>
    <col min="8" max="8" width="8.5703125" hidden="1" customWidth="1" outlineLevel="1" collapsed="1"/>
    <col min="9" max="9" width="12" customWidth="1" collapsed="1"/>
    <col min="10" max="10" width="10.7109375" customWidth="1"/>
    <col min="11" max="11" width="3.28515625" customWidth="1"/>
    <col min="12" max="12" width="0.5703125" hidden="1" customWidth="1" outlineLevel="1"/>
    <col min="13" max="13" width="10.7109375" hidden="1" customWidth="1" outlineLevel="1" collapsed="1"/>
    <col min="14" max="17" width="10.7109375" hidden="1" customWidth="1" outlineLevel="1"/>
    <col min="18" max="18" width="10.85546875" hidden="1" customWidth="1" outlineLevel="1"/>
    <col min="19" max="22" width="9.140625" hidden="1" customWidth="1" outlineLevel="2"/>
    <col min="23" max="23" width="2.140625" hidden="1" customWidth="1" outlineLevel="2"/>
    <col min="24" max="24" width="9.140625" hidden="1" customWidth="1" outlineLevel="1" collapsed="1"/>
    <col min="25" max="25" width="3" customWidth="1" collapsed="1"/>
    <col min="26" max="26" width="23.7109375" customWidth="1"/>
    <col min="27" max="27" width="18.140625" bestFit="1" customWidth="1"/>
    <col min="28" max="28" width="16.5703125" customWidth="1"/>
    <col min="29" max="29" width="20.7109375" hidden="1" customWidth="1" outlineLevel="1"/>
    <col min="30" max="30" width="14" customWidth="1" collapsed="1"/>
    <col min="31" max="32" width="10.7109375" customWidth="1"/>
    <col min="33" max="33" width="10.7109375" hidden="1" customWidth="1" outlineLevel="1"/>
    <col min="34" max="39" width="12.7109375" hidden="1" customWidth="1" outlineLevel="1"/>
    <col min="40" max="40" width="2.140625" hidden="1" customWidth="1" outlineLevel="1"/>
    <col min="41" max="41" width="12.7109375" customWidth="1" collapsed="1"/>
    <col min="42" max="42" width="12.7109375" customWidth="1"/>
  </cols>
  <sheetData>
    <row r="1" spans="1:41" ht="25.5" customHeight="1">
      <c r="A1" s="237" t="s">
        <v>121</v>
      </c>
      <c r="B1" s="237" t="s">
        <v>122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</row>
    <row r="2" spans="1:41" ht="18.75">
      <c r="A2" s="555" t="s">
        <v>35</v>
      </c>
      <c r="B2" s="566"/>
      <c r="C2" s="566"/>
      <c r="D2" s="566"/>
      <c r="E2" s="566"/>
      <c r="F2" s="566"/>
      <c r="G2" s="566"/>
      <c r="H2" s="566"/>
      <c r="I2" s="566"/>
      <c r="J2" s="567"/>
      <c r="K2" s="7"/>
      <c r="L2" s="540" t="s">
        <v>36</v>
      </c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2"/>
    </row>
    <row r="3" spans="1:41" ht="15.75" customHeight="1">
      <c r="A3" s="84"/>
      <c r="C3" s="561" t="s">
        <v>123</v>
      </c>
      <c r="D3" s="562"/>
      <c r="E3" s="561"/>
      <c r="F3" s="562"/>
      <c r="G3" s="561"/>
      <c r="H3" s="562"/>
      <c r="I3" s="568" t="s">
        <v>39</v>
      </c>
      <c r="J3" s="569"/>
      <c r="L3" s="177" t="s">
        <v>40</v>
      </c>
      <c r="M3" s="547" t="s">
        <v>41</v>
      </c>
      <c r="N3" s="534"/>
      <c r="O3" s="534"/>
      <c r="P3" s="534"/>
      <c r="Q3" s="534"/>
      <c r="R3" s="534"/>
      <c r="S3" s="534"/>
      <c r="T3" s="534"/>
      <c r="U3" s="534"/>
      <c r="V3" s="534"/>
      <c r="W3" s="535"/>
      <c r="X3" s="28"/>
      <c r="Y3" s="116"/>
      <c r="Z3" s="548" t="s">
        <v>42</v>
      </c>
      <c r="AA3" s="549"/>
      <c r="AB3" s="116"/>
      <c r="AC3" s="27" t="s">
        <v>40</v>
      </c>
      <c r="AD3" s="533" t="s">
        <v>20</v>
      </c>
      <c r="AE3" s="534"/>
      <c r="AF3" s="534"/>
      <c r="AG3" s="534"/>
      <c r="AH3" s="534"/>
      <c r="AI3" s="534"/>
      <c r="AJ3" s="534"/>
      <c r="AK3" s="534"/>
      <c r="AL3" s="534"/>
      <c r="AM3" s="534"/>
      <c r="AN3" s="535"/>
      <c r="AO3" s="117"/>
    </row>
    <row r="4" spans="1:41" ht="16.5" customHeight="1">
      <c r="A4" s="85" t="s">
        <v>43</v>
      </c>
      <c r="B4" s="5" t="s">
        <v>44</v>
      </c>
      <c r="C4" s="476">
        <f>AA10</f>
        <v>18614.599999999999</v>
      </c>
      <c r="E4" s="83">
        <f>AA11</f>
        <v>0</v>
      </c>
      <c r="G4" s="468"/>
      <c r="I4" s="153">
        <f>AA10+AA11+G4</f>
        <v>18614.599999999999</v>
      </c>
      <c r="J4" s="86">
        <f>D4+F4</f>
        <v>0</v>
      </c>
      <c r="L4" s="178" t="s">
        <v>45</v>
      </c>
      <c r="M4" s="32"/>
      <c r="N4" s="31"/>
      <c r="O4" s="170"/>
      <c r="P4" s="32"/>
      <c r="Q4" s="32"/>
      <c r="R4" s="32"/>
      <c r="S4" s="32"/>
      <c r="T4" s="32"/>
      <c r="U4" s="32"/>
      <c r="V4" s="32"/>
      <c r="W4" s="32"/>
      <c r="X4" s="527" t="s">
        <v>51</v>
      </c>
      <c r="Y4" s="116"/>
      <c r="Z4" s="33" t="s">
        <v>52</v>
      </c>
      <c r="AA4" s="34">
        <f>X6</f>
        <v>1</v>
      </c>
      <c r="AB4" s="116"/>
      <c r="AC4" s="30" t="s">
        <v>45</v>
      </c>
      <c r="AD4" s="32" t="s">
        <v>124</v>
      </c>
      <c r="AE4" s="31" t="s">
        <v>125</v>
      </c>
      <c r="AF4" s="170" t="s">
        <v>126</v>
      </c>
      <c r="AG4" s="32"/>
      <c r="AH4" s="32"/>
      <c r="AI4" s="466"/>
      <c r="AJ4" s="32"/>
      <c r="AK4" s="32"/>
      <c r="AL4" s="32"/>
      <c r="AM4" s="32"/>
      <c r="AN4" s="32"/>
      <c r="AO4" s="529" t="s">
        <v>51</v>
      </c>
    </row>
    <row r="5" spans="1:41">
      <c r="A5" s="85" t="s">
        <v>53</v>
      </c>
      <c r="B5" s="5" t="s">
        <v>54</v>
      </c>
      <c r="C5" s="192">
        <f>C6+C7+C8+C9+C10+C11+C13+C14+C16+C15+C12</f>
        <v>12552.015110266402</v>
      </c>
      <c r="D5" s="5"/>
      <c r="E5" s="192">
        <f>E6+E7+E8+E9+E10+E11+E13+E14+E16+E15+E12</f>
        <v>0</v>
      </c>
      <c r="F5" s="5"/>
      <c r="G5" s="192">
        <f>G6+G7+G8+G9+G10+G11+G13+G14+G16+G15+G12</f>
        <v>0</v>
      </c>
      <c r="H5" s="5"/>
      <c r="I5" s="472">
        <f>C5+E5+G5</f>
        <v>12552.015110266402</v>
      </c>
      <c r="J5" s="87"/>
      <c r="L5" s="179"/>
      <c r="M5" s="189">
        <v>1</v>
      </c>
      <c r="N5" s="80">
        <v>2</v>
      </c>
      <c r="O5" s="80">
        <v>3</v>
      </c>
      <c r="P5" s="80">
        <v>4</v>
      </c>
      <c r="Q5" s="80">
        <v>5</v>
      </c>
      <c r="R5" s="80">
        <v>6</v>
      </c>
      <c r="S5" s="80"/>
      <c r="T5" s="80"/>
      <c r="U5" s="80"/>
      <c r="V5" s="80"/>
      <c r="W5" s="36"/>
      <c r="X5" s="528"/>
      <c r="Z5" s="37" t="s">
        <v>55</v>
      </c>
      <c r="AA5" s="38">
        <v>1</v>
      </c>
      <c r="AC5" s="35"/>
      <c r="AD5" s="80">
        <v>1</v>
      </c>
      <c r="AE5" s="80">
        <v>2</v>
      </c>
      <c r="AF5" s="80">
        <v>3</v>
      </c>
      <c r="AG5" s="80">
        <v>4</v>
      </c>
      <c r="AH5" s="80">
        <v>5</v>
      </c>
      <c r="AI5" s="80">
        <v>6</v>
      </c>
      <c r="AJ5" s="36">
        <v>7</v>
      </c>
      <c r="AK5" s="36">
        <v>8</v>
      </c>
      <c r="AL5" s="36">
        <v>9</v>
      </c>
      <c r="AM5" s="36">
        <v>10</v>
      </c>
      <c r="AN5" s="36">
        <v>11</v>
      </c>
      <c r="AO5" s="530"/>
    </row>
    <row r="6" spans="1:41">
      <c r="A6" s="88" t="s">
        <v>56</v>
      </c>
      <c r="B6" s="81" t="s">
        <v>57</v>
      </c>
      <c r="C6" s="19">
        <f>370.78+120+548.78+176.87+42.21+86.52+147.78+71.49+32.09+39.33+74.4+70.19</f>
        <v>1780.4399999999998</v>
      </c>
      <c r="D6" s="140">
        <f>C6+C7+C8</f>
        <v>2100.4399999999996</v>
      </c>
      <c r="E6" s="22"/>
      <c r="F6" s="156">
        <f>E6+E7+E8</f>
        <v>0</v>
      </c>
      <c r="G6" s="19"/>
      <c r="H6" s="89">
        <f>G6+G7+G8</f>
        <v>0</v>
      </c>
      <c r="I6" s="467">
        <f t="shared" ref="I6:I16" si="0">C6+E6+G6</f>
        <v>1780.4399999999998</v>
      </c>
      <c r="J6" s="90">
        <f>I6+I7+I8</f>
        <v>2100.4399999999996</v>
      </c>
      <c r="L6" s="180"/>
      <c r="M6" s="40">
        <v>0.25</v>
      </c>
      <c r="N6" s="40">
        <v>0.5</v>
      </c>
      <c r="O6" s="40">
        <v>0.75</v>
      </c>
      <c r="P6" s="40">
        <v>1</v>
      </c>
      <c r="Q6" s="40"/>
      <c r="R6" s="40"/>
      <c r="S6" s="40"/>
      <c r="T6" s="40"/>
      <c r="U6" s="40"/>
      <c r="V6" s="40"/>
      <c r="W6" s="41"/>
      <c r="X6" s="40">
        <f>P6</f>
        <v>1</v>
      </c>
      <c r="Z6" s="531" t="s">
        <v>58</v>
      </c>
      <c r="AA6" s="532"/>
      <c r="AC6" s="42"/>
      <c r="AD6" s="43">
        <f>AO6/4</f>
        <v>0</v>
      </c>
      <c r="AE6" s="43">
        <f>AD6</f>
        <v>0</v>
      </c>
      <c r="AF6" s="43">
        <f>AD6</f>
        <v>0</v>
      </c>
      <c r="AG6" s="43">
        <f>AD6</f>
        <v>0</v>
      </c>
      <c r="AH6" s="43"/>
      <c r="AI6" s="43"/>
      <c r="AJ6" s="44"/>
      <c r="AK6" s="44"/>
      <c r="AL6" s="44"/>
      <c r="AM6" s="44"/>
      <c r="AN6" s="44"/>
      <c r="AO6" s="121"/>
    </row>
    <row r="7" spans="1:41">
      <c r="A7" s="91" t="s">
        <v>59</v>
      </c>
      <c r="B7" s="92" t="s">
        <v>60</v>
      </c>
      <c r="C7" s="19"/>
      <c r="D7" s="89"/>
      <c r="E7" s="134"/>
      <c r="F7" s="13"/>
      <c r="G7" s="19"/>
      <c r="H7" s="89"/>
      <c r="I7" s="467">
        <f t="shared" si="0"/>
        <v>0</v>
      </c>
      <c r="J7" s="90"/>
      <c r="L7" s="181"/>
      <c r="M7" s="48"/>
      <c r="N7" s="46"/>
      <c r="O7" s="46"/>
      <c r="P7" s="46"/>
      <c r="Q7" s="46"/>
      <c r="R7" s="46"/>
      <c r="S7" s="46"/>
      <c r="T7" s="46"/>
      <c r="U7" s="46"/>
      <c r="V7" s="46"/>
      <c r="W7" s="47"/>
      <c r="X7" s="48">
        <f>R7</f>
        <v>0</v>
      </c>
      <c r="Z7" s="49" t="s">
        <v>52</v>
      </c>
      <c r="AA7" s="50" t="e">
        <f>AO6/AA13</f>
        <v>#DIV/0!</v>
      </c>
      <c r="AC7" s="51"/>
      <c r="AD7" s="52">
        <f>58.38+8.58+7.57+7.6</f>
        <v>82.13</v>
      </c>
      <c r="AE7" s="53">
        <f>10.4+26.88+3+25.95+4+14.9+21.43+3</f>
        <v>109.56</v>
      </c>
      <c r="AF7" s="53">
        <f>29.5+19.42+19.38+13</f>
        <v>81.3</v>
      </c>
      <c r="AG7" s="53"/>
      <c r="AH7" s="53"/>
      <c r="AI7" s="53"/>
      <c r="AJ7" s="54"/>
      <c r="AK7" s="54"/>
      <c r="AL7" s="54"/>
      <c r="AM7" s="54"/>
      <c r="AN7" s="54"/>
      <c r="AO7" s="167">
        <f>AD7+AE7+AF7+AG7+AH7+AI7+AN7+AJ7+AK7+AL7+AM7</f>
        <v>272.99</v>
      </c>
    </row>
    <row r="8" spans="1:41">
      <c r="A8" s="93" t="s">
        <v>61</v>
      </c>
      <c r="B8" s="82" t="s">
        <v>62</v>
      </c>
      <c r="C8" s="20">
        <f>150+170</f>
        <v>320</v>
      </c>
      <c r="D8" s="94"/>
      <c r="E8" s="20"/>
      <c r="F8" s="14"/>
      <c r="G8" s="20"/>
      <c r="H8" s="94"/>
      <c r="I8" s="467">
        <f t="shared" si="0"/>
        <v>320</v>
      </c>
      <c r="J8" s="95"/>
      <c r="L8" s="182"/>
      <c r="M8" s="55"/>
      <c r="N8" s="55"/>
      <c r="O8" s="55"/>
      <c r="P8" s="56"/>
      <c r="Q8" s="57"/>
      <c r="R8" s="56">
        <f>AA11/AA10</f>
        <v>0</v>
      </c>
      <c r="S8" s="55"/>
      <c r="T8" s="55"/>
      <c r="U8" s="58"/>
      <c r="V8" s="58"/>
      <c r="W8" s="58"/>
      <c r="X8" s="56">
        <f>SUM(M8:W8)</f>
        <v>0</v>
      </c>
      <c r="Z8" s="59" t="s">
        <v>55</v>
      </c>
      <c r="AA8" s="77" t="e">
        <f>AO7/AA13</f>
        <v>#DIV/0!</v>
      </c>
      <c r="AO8" s="105"/>
    </row>
    <row r="9" spans="1:41">
      <c r="A9" s="88" t="s">
        <v>63</v>
      </c>
      <c r="B9" s="81" t="s">
        <v>64</v>
      </c>
      <c r="C9" s="367">
        <f>((19.45*16+11.45*8+19.5*15+11.42*7.5+19.43*14+11.42*7+81.36*16+61.94*15+71.31*14)-C13)*1.42</f>
        <v>2999.1961999999994</v>
      </c>
      <c r="D9" s="137">
        <f>C9+C10+C11+C13+C12</f>
        <v>7556.2651102663995</v>
      </c>
      <c r="E9" s="367"/>
      <c r="F9" s="137">
        <f>E9+E10+E11+E13+E12</f>
        <v>0</v>
      </c>
      <c r="G9" s="473"/>
      <c r="H9" s="6">
        <f>G9+G10+G11+G13+G12</f>
        <v>0</v>
      </c>
      <c r="I9" s="467">
        <f t="shared" si="0"/>
        <v>2999.1961999999994</v>
      </c>
      <c r="J9" s="96">
        <f>I9+I10+I11+I13+I12</f>
        <v>7556.2651102663995</v>
      </c>
      <c r="L9" s="84"/>
      <c r="AO9" s="105"/>
    </row>
    <row r="10" spans="1:41">
      <c r="A10" s="91" t="s">
        <v>65</v>
      </c>
      <c r="B10" s="92" t="s">
        <v>66</v>
      </c>
      <c r="C10" s="134">
        <f>C9*0.2359</f>
        <v>707.51038357999983</v>
      </c>
      <c r="D10" s="89"/>
      <c r="E10" s="134"/>
      <c r="F10" s="89"/>
      <c r="G10" s="19">
        <f>G9*0.2359</f>
        <v>0</v>
      </c>
      <c r="H10" s="89"/>
      <c r="I10" s="467">
        <f t="shared" si="0"/>
        <v>707.51038357999983</v>
      </c>
      <c r="J10" s="95"/>
      <c r="L10" s="84"/>
      <c r="Z10" s="10" t="s">
        <v>67</v>
      </c>
      <c r="AA10" s="500">
        <f>7528.14+1576+9510.46</f>
        <v>18614.599999999999</v>
      </c>
      <c r="AO10" s="105"/>
    </row>
    <row r="11" spans="1:41">
      <c r="A11" s="91" t="s">
        <v>68</v>
      </c>
      <c r="B11" s="92" t="s">
        <v>69</v>
      </c>
      <c r="C11" s="134">
        <f>(C9+C10)*0.08</f>
        <v>296.53652668639995</v>
      </c>
      <c r="D11" s="89"/>
      <c r="E11" s="134"/>
      <c r="F11" s="89"/>
      <c r="G11" s="19">
        <f>(G9+G10)*0.08</f>
        <v>0</v>
      </c>
      <c r="H11" s="89"/>
      <c r="I11" s="467">
        <f t="shared" si="0"/>
        <v>296.53652668639995</v>
      </c>
      <c r="J11" s="95"/>
      <c r="L11" s="84"/>
      <c r="Z11" s="62" t="s">
        <v>70</v>
      </c>
      <c r="AA11" s="377"/>
      <c r="AO11" s="105"/>
    </row>
    <row r="12" spans="1:41">
      <c r="A12" s="97" t="s">
        <v>71</v>
      </c>
      <c r="B12" s="98" t="s">
        <v>72</v>
      </c>
      <c r="C12" s="135">
        <f>(C4)*0.07</f>
        <v>1303.0219999999999</v>
      </c>
      <c r="D12" s="131"/>
      <c r="E12" s="135"/>
      <c r="F12" s="131"/>
      <c r="G12" s="22"/>
      <c r="H12" s="131"/>
      <c r="I12" s="467">
        <f t="shared" si="0"/>
        <v>1303.0219999999999</v>
      </c>
      <c r="J12" s="95"/>
      <c r="L12" s="84"/>
      <c r="AO12" s="105"/>
    </row>
    <row r="13" spans="1:41">
      <c r="A13" s="91" t="s">
        <v>73</v>
      </c>
      <c r="B13" s="92" t="s">
        <v>74</v>
      </c>
      <c r="C13" s="139">
        <f>6*50+39*50</f>
        <v>2250</v>
      </c>
      <c r="D13" s="133"/>
      <c r="E13" s="370"/>
      <c r="F13" s="133"/>
      <c r="G13" s="132"/>
      <c r="H13" s="133"/>
      <c r="I13" s="467">
        <f t="shared" si="0"/>
        <v>2250</v>
      </c>
      <c r="J13" s="99"/>
      <c r="L13" s="84"/>
      <c r="Z13" s="64" t="s">
        <v>75</v>
      </c>
      <c r="AA13" s="65"/>
      <c r="AO13" s="105"/>
    </row>
    <row r="14" spans="1:41">
      <c r="A14" s="100" t="s">
        <v>76</v>
      </c>
      <c r="B14" s="81" t="s">
        <v>77</v>
      </c>
      <c r="C14" s="19">
        <f>1080+180+180+90</f>
        <v>1530</v>
      </c>
      <c r="D14" s="89">
        <f>C14+C16+C15</f>
        <v>2895.31</v>
      </c>
      <c r="E14" s="22"/>
      <c r="F14" s="13">
        <f>E14+E16+E15</f>
        <v>0</v>
      </c>
      <c r="G14" s="19"/>
      <c r="H14" s="89">
        <f>G14+G16+G15</f>
        <v>0</v>
      </c>
      <c r="I14" s="467">
        <f t="shared" si="0"/>
        <v>1530</v>
      </c>
      <c r="J14" s="95">
        <f>I14+I16+I15</f>
        <v>2895.31</v>
      </c>
      <c r="L14" s="84"/>
      <c r="Z14" s="66" t="s">
        <v>78</v>
      </c>
      <c r="AA14" s="66" t="s">
        <v>79</v>
      </c>
      <c r="AO14" s="105"/>
    </row>
    <row r="15" spans="1:41">
      <c r="A15" s="101" t="s">
        <v>80</v>
      </c>
      <c r="B15" s="92" t="s">
        <v>81</v>
      </c>
      <c r="C15" s="19">
        <f>500.97+589.8/2</f>
        <v>795.87</v>
      </c>
      <c r="D15" s="89"/>
      <c r="E15" s="22"/>
      <c r="F15" s="13"/>
      <c r="G15" s="19"/>
      <c r="H15" s="89"/>
      <c r="I15" s="467">
        <f t="shared" si="0"/>
        <v>795.87</v>
      </c>
      <c r="J15" s="95"/>
      <c r="L15" s="84"/>
      <c r="Z15" s="67" t="s">
        <v>82</v>
      </c>
      <c r="AA15" s="68">
        <v>13</v>
      </c>
      <c r="AO15" s="105"/>
    </row>
    <row r="16" spans="1:41">
      <c r="A16" s="91" t="s">
        <v>83</v>
      </c>
      <c r="B16" s="92" t="s">
        <v>84</v>
      </c>
      <c r="C16" s="19">
        <f>140.96+6.63*6+6.66+6.68*3+13.29+13.28+6.63+6.69+197.78+124.33</f>
        <v>569.44000000000005</v>
      </c>
      <c r="D16" s="89"/>
      <c r="E16" s="19"/>
      <c r="F16" s="13"/>
      <c r="G16" s="19"/>
      <c r="H16" s="89"/>
      <c r="I16" s="467">
        <f t="shared" si="0"/>
        <v>569.44000000000005</v>
      </c>
      <c r="J16" s="95"/>
      <c r="L16" s="84"/>
      <c r="Z16" s="67" t="s">
        <v>85</v>
      </c>
      <c r="AA16" s="68">
        <v>12</v>
      </c>
      <c r="AO16" s="105"/>
    </row>
    <row r="17" spans="1:41">
      <c r="A17" s="85" t="s">
        <v>86</v>
      </c>
      <c r="B17" s="5" t="s">
        <v>87</v>
      </c>
      <c r="C17" s="185">
        <f>C4-C5</f>
        <v>6062.5848897335964</v>
      </c>
      <c r="D17" s="129">
        <f>C17/C4</f>
        <v>0.32568977521588416</v>
      </c>
      <c r="E17" s="197">
        <f>E4-E5</f>
        <v>0</v>
      </c>
      <c r="F17" s="130" t="e">
        <f>E17/E4</f>
        <v>#DIV/0!</v>
      </c>
      <c r="G17" s="197">
        <f>G4-G5</f>
        <v>0</v>
      </c>
      <c r="H17" s="130" t="e">
        <f>G17/G4</f>
        <v>#DIV/0!</v>
      </c>
      <c r="I17" s="16">
        <f>I4-I5</f>
        <v>6062.5848897335964</v>
      </c>
      <c r="J17" s="102">
        <f>I17/I4</f>
        <v>0.32568977521588416</v>
      </c>
      <c r="L17" s="84"/>
      <c r="AO17" s="105"/>
    </row>
    <row r="18" spans="1:41" ht="20.25" customHeight="1">
      <c r="A18" s="103"/>
      <c r="B18" s="104"/>
      <c r="C18" s="104"/>
      <c r="D18" s="104"/>
      <c r="E18" s="104"/>
      <c r="F18" s="104"/>
      <c r="G18" s="104"/>
      <c r="H18" s="104"/>
      <c r="J18" s="105"/>
      <c r="L18" s="115" t="s">
        <v>40</v>
      </c>
      <c r="M18" s="533" t="s">
        <v>88</v>
      </c>
      <c r="N18" s="534"/>
      <c r="O18" s="534"/>
      <c r="P18" s="534"/>
      <c r="Q18" s="534"/>
      <c r="R18" s="534"/>
      <c r="S18" s="534"/>
      <c r="T18" s="534"/>
      <c r="U18" s="534"/>
      <c r="V18" s="534"/>
      <c r="W18" s="535"/>
      <c r="X18" s="29"/>
      <c r="Z18" s="520" t="s">
        <v>89</v>
      </c>
      <c r="AA18" s="520"/>
      <c r="AC18" s="27" t="s">
        <v>40</v>
      </c>
      <c r="AD18" s="533" t="s">
        <v>90</v>
      </c>
      <c r="AE18" s="534"/>
      <c r="AF18" s="534"/>
      <c r="AG18" s="534"/>
      <c r="AH18" s="534"/>
      <c r="AI18" s="534"/>
      <c r="AJ18" s="534"/>
      <c r="AK18" s="534"/>
      <c r="AL18" s="534"/>
      <c r="AM18" s="534"/>
      <c r="AN18" s="535"/>
      <c r="AO18" s="117"/>
    </row>
    <row r="19" spans="1:41" ht="24" customHeight="1">
      <c r="A19" s="106" t="s">
        <v>91</v>
      </c>
      <c r="B19" s="4" t="s">
        <v>92</v>
      </c>
      <c r="C19" s="107"/>
      <c r="D19" s="107"/>
      <c r="E19" s="107"/>
      <c r="F19" s="107"/>
      <c r="G19" s="107"/>
      <c r="H19" s="107"/>
      <c r="J19" s="105"/>
      <c r="L19" s="118" t="s">
        <v>45</v>
      </c>
      <c r="M19" s="32"/>
      <c r="N19" s="31"/>
      <c r="O19" s="170"/>
      <c r="P19" s="32"/>
      <c r="Q19" s="32"/>
      <c r="R19" s="32"/>
      <c r="S19" s="32"/>
      <c r="T19" s="32"/>
      <c r="U19" s="31"/>
      <c r="V19" s="31"/>
      <c r="W19" s="31"/>
      <c r="X19" s="516" t="s">
        <v>51</v>
      </c>
      <c r="Z19" s="69" t="s">
        <v>52</v>
      </c>
      <c r="AA19" s="50"/>
      <c r="AC19" s="30" t="s">
        <v>45</v>
      </c>
      <c r="AD19" s="32"/>
      <c r="AE19" s="31"/>
      <c r="AF19" s="170"/>
      <c r="AG19" s="32"/>
      <c r="AH19" s="32"/>
      <c r="AI19" s="466"/>
      <c r="AJ19" s="32"/>
      <c r="AK19" s="32"/>
      <c r="AL19" s="31"/>
      <c r="AM19" s="31"/>
      <c r="AN19" s="31"/>
      <c r="AO19" s="518" t="s">
        <v>51</v>
      </c>
    </row>
    <row r="20" spans="1:41">
      <c r="A20" s="108" t="s">
        <v>93</v>
      </c>
      <c r="B20" s="3">
        <f>J6/I5*100</f>
        <v>16.733886802622084</v>
      </c>
      <c r="C20" s="109"/>
      <c r="D20" s="109"/>
      <c r="E20" s="109"/>
      <c r="F20" s="109"/>
      <c r="G20" s="109"/>
      <c r="H20" s="109"/>
      <c r="J20" s="105"/>
      <c r="L20" s="118"/>
      <c r="M20" s="70">
        <v>1</v>
      </c>
      <c r="N20" s="70">
        <v>2</v>
      </c>
      <c r="O20" s="70">
        <v>3</v>
      </c>
      <c r="P20" s="70">
        <v>4</v>
      </c>
      <c r="Q20" s="70">
        <v>5</v>
      </c>
      <c r="R20" s="70">
        <v>6</v>
      </c>
      <c r="S20" s="70"/>
      <c r="T20" s="70"/>
      <c r="U20" s="70"/>
      <c r="V20" s="70"/>
      <c r="W20" s="70"/>
      <c r="X20" s="517"/>
      <c r="Z20" s="71" t="s">
        <v>55</v>
      </c>
      <c r="AA20" s="77">
        <f>I6</f>
        <v>1780.4399999999998</v>
      </c>
      <c r="AC20" s="30"/>
      <c r="AD20" s="70">
        <v>1</v>
      </c>
      <c r="AE20" s="70">
        <v>2</v>
      </c>
      <c r="AF20" s="70">
        <v>3</v>
      </c>
      <c r="AG20" s="70">
        <v>4</v>
      </c>
      <c r="AH20" s="70">
        <v>5</v>
      </c>
      <c r="AI20" s="70">
        <v>6</v>
      </c>
      <c r="AJ20" s="70">
        <v>7</v>
      </c>
      <c r="AK20" s="70">
        <v>8</v>
      </c>
      <c r="AL20" s="70">
        <v>9</v>
      </c>
      <c r="AM20" s="70">
        <v>10</v>
      </c>
      <c r="AN20" s="70">
        <v>11</v>
      </c>
      <c r="AO20" s="519"/>
    </row>
    <row r="21" spans="1:41">
      <c r="A21" s="110" t="s">
        <v>94</v>
      </c>
      <c r="B21" s="3">
        <f>J9/I5*100</f>
        <v>60.199617701910391</v>
      </c>
      <c r="C21" s="109"/>
      <c r="D21" s="109"/>
      <c r="E21" s="109"/>
      <c r="F21" s="109"/>
      <c r="G21" s="109"/>
      <c r="H21" s="109"/>
      <c r="J21" s="105"/>
      <c r="L21" s="125"/>
      <c r="M21" s="73">
        <f>X21/4</f>
        <v>0</v>
      </c>
      <c r="N21" s="73">
        <f>M21</f>
        <v>0</v>
      </c>
      <c r="O21" s="73">
        <f>M21</f>
        <v>0</v>
      </c>
      <c r="P21" s="73">
        <f>M21</f>
        <v>0</v>
      </c>
      <c r="Q21" s="73"/>
      <c r="R21" s="73"/>
      <c r="S21" s="73"/>
      <c r="T21" s="73"/>
      <c r="U21" s="73"/>
      <c r="V21" s="73"/>
      <c r="W21" s="73"/>
      <c r="X21" s="74">
        <f>AA19</f>
        <v>0</v>
      </c>
      <c r="Z21" s="520" t="s">
        <v>90</v>
      </c>
      <c r="AA21" s="520"/>
      <c r="AC21" s="72"/>
      <c r="AD21" s="73">
        <f>AO21/5</f>
        <v>0</v>
      </c>
      <c r="AE21" s="73">
        <f>AD21</f>
        <v>0</v>
      </c>
      <c r="AF21" s="73">
        <f>AD21</f>
        <v>0</v>
      </c>
      <c r="AG21" s="73">
        <f>AD21</f>
        <v>0</v>
      </c>
      <c r="AH21" s="73"/>
      <c r="AI21" s="73"/>
      <c r="AJ21" s="73"/>
      <c r="AK21" s="73"/>
      <c r="AL21" s="73"/>
      <c r="AM21" s="73"/>
      <c r="AN21" s="73"/>
      <c r="AO21" s="126">
        <f>AA22</f>
        <v>0</v>
      </c>
    </row>
    <row r="22" spans="1:41">
      <c r="A22" s="111" t="s">
        <v>95</v>
      </c>
      <c r="B22" s="2">
        <f>J14/I5*100</f>
        <v>23.066495495467503</v>
      </c>
      <c r="C22" s="109"/>
      <c r="D22" s="109"/>
      <c r="E22" s="109"/>
      <c r="F22" s="109"/>
      <c r="G22" s="109"/>
      <c r="H22" s="109"/>
      <c r="J22" s="105"/>
      <c r="L22" s="125"/>
      <c r="M22" s="75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5">
        <f>Q22+P22+O22+N22+M22</f>
        <v>0</v>
      </c>
      <c r="Z22" s="69" t="s">
        <v>52</v>
      </c>
      <c r="AA22" s="50"/>
      <c r="AC22" s="72"/>
      <c r="AD22" s="75">
        <v>2030.97</v>
      </c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165">
        <f t="shared" ref="AO22" si="1">AD22+AE22+AF22+AG22+AH22+AI22+AN22+AJ22+AK22+AL22+AM22</f>
        <v>2030.97</v>
      </c>
    </row>
    <row r="23" spans="1:41">
      <c r="A23" s="84"/>
      <c r="J23" s="105"/>
      <c r="L23" s="84"/>
      <c r="Z23" s="71" t="s">
        <v>55</v>
      </c>
      <c r="AA23" s="77">
        <f>AO22</f>
        <v>2030.97</v>
      </c>
      <c r="AE23" t="s">
        <v>127</v>
      </c>
      <c r="AO23" s="105"/>
    </row>
    <row r="24" spans="1:41">
      <c r="A24" s="84"/>
      <c r="J24" s="105"/>
      <c r="L24" s="84"/>
      <c r="X24" s="128"/>
      <c r="AO24" s="105"/>
    </row>
    <row r="25" spans="1:41" ht="27" customHeight="1">
      <c r="A25" s="84"/>
      <c r="J25" s="105"/>
      <c r="L25" s="84"/>
      <c r="Z25" s="10" t="s">
        <v>96</v>
      </c>
      <c r="AA25" s="145"/>
      <c r="AO25" s="105"/>
    </row>
    <row r="26" spans="1:41" ht="30.75">
      <c r="A26" s="84"/>
      <c r="J26" s="105"/>
      <c r="L26" s="84"/>
      <c r="Z26" s="10" t="s">
        <v>97</v>
      </c>
      <c r="AA26" s="145"/>
      <c r="AO26" s="105"/>
    </row>
    <row r="27" spans="1:41">
      <c r="A27" s="84"/>
      <c r="J27" s="105"/>
      <c r="L27" s="84"/>
      <c r="AO27" s="105"/>
    </row>
    <row r="28" spans="1:41">
      <c r="A28" s="84"/>
      <c r="J28" s="105"/>
      <c r="L28" s="84"/>
      <c r="AO28" s="105"/>
    </row>
    <row r="29" spans="1:41">
      <c r="A29" s="84"/>
      <c r="J29" s="105"/>
      <c r="L29" s="84"/>
      <c r="AO29" s="105"/>
    </row>
    <row r="30" spans="1:41">
      <c r="A30" s="84"/>
      <c r="J30" s="105"/>
      <c r="L30" s="84"/>
      <c r="Z30" s="521" t="s">
        <v>98</v>
      </c>
      <c r="AA30" s="522"/>
      <c r="AO30" s="105"/>
    </row>
    <row r="31" spans="1:41">
      <c r="A31" s="84"/>
      <c r="J31" s="105"/>
      <c r="L31" s="84"/>
      <c r="Z31" s="523">
        <v>45330</v>
      </c>
      <c r="AA31" s="524"/>
      <c r="AO31" s="105"/>
    </row>
    <row r="32" spans="1:41">
      <c r="A32" s="112"/>
      <c r="B32" s="113"/>
      <c r="C32" s="113"/>
      <c r="D32" s="113"/>
      <c r="E32" s="113"/>
      <c r="F32" s="113"/>
      <c r="G32" s="113"/>
      <c r="H32" s="113"/>
      <c r="I32" s="113"/>
      <c r="J32" s="114"/>
      <c r="L32" s="112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525"/>
      <c r="AA32" s="526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4"/>
    </row>
    <row r="36" spans="1:3">
      <c r="A36" t="s">
        <v>128</v>
      </c>
      <c r="B36">
        <v>65419624</v>
      </c>
      <c r="C36">
        <v>540.76</v>
      </c>
    </row>
  </sheetData>
  <mergeCells count="20">
    <mergeCell ref="X19:X20"/>
    <mergeCell ref="AO19:AO20"/>
    <mergeCell ref="Z21:AA21"/>
    <mergeCell ref="Z30:AA30"/>
    <mergeCell ref="Z31:AA32"/>
    <mergeCell ref="X4:X5"/>
    <mergeCell ref="AO4:AO5"/>
    <mergeCell ref="Z6:AA6"/>
    <mergeCell ref="M18:W18"/>
    <mergeCell ref="Z18:AA18"/>
    <mergeCell ref="AD18:AN18"/>
    <mergeCell ref="A2:J2"/>
    <mergeCell ref="L2:AO2"/>
    <mergeCell ref="C3:D3"/>
    <mergeCell ref="E3:F3"/>
    <mergeCell ref="G3:H3"/>
    <mergeCell ref="I3:J3"/>
    <mergeCell ref="M3:W3"/>
    <mergeCell ref="Z3:AA3"/>
    <mergeCell ref="AD3:AN3"/>
  </mergeCells>
  <conditionalFormatting sqref="AA23">
    <cfRule type="cellIs" dxfId="37" priority="2" operator="greaterThan">
      <formula>$AA$22</formula>
    </cfRule>
  </conditionalFormatting>
  <conditionalFormatting sqref="AA20">
    <cfRule type="cellIs" dxfId="36" priority="1" operator="greaterThan">
      <formula>$AA$19</formula>
    </cfRule>
  </conditionalFormatting>
  <pageMargins left="0.7" right="0.7" top="0.75" bottom="0.75" header="0.3" footer="0.3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3F70-A6F7-404E-86EA-F0804EAEAC5F}">
  <sheetPr>
    <pageSetUpPr fitToPage="1"/>
  </sheetPr>
  <dimension ref="A1:AN37"/>
  <sheetViews>
    <sheetView topLeftCell="A13" workbookViewId="0">
      <selection activeCell="X33" sqref="X33"/>
    </sheetView>
  </sheetViews>
  <sheetFormatPr defaultRowHeight="15" outlineLevelCol="1"/>
  <cols>
    <col min="1" max="1" width="36.42578125" bestFit="1" customWidth="1"/>
    <col min="2" max="2" width="30.140625" bestFit="1" customWidth="1"/>
    <col min="3" max="5" width="10.7109375" customWidth="1"/>
    <col min="6" max="6" width="10.140625" customWidth="1"/>
    <col min="7" max="8" width="10.7109375" customWidth="1"/>
    <col min="9" max="9" width="3.28515625" customWidth="1"/>
    <col min="10" max="10" width="5.140625" hidden="1" customWidth="1" outlineLevel="1"/>
    <col min="11" max="11" width="10.7109375" hidden="1" customWidth="1" outlineLevel="1" collapsed="1"/>
    <col min="12" max="15" width="10.7109375" hidden="1" customWidth="1" outlineLevel="1"/>
    <col min="16" max="20" width="9.140625" hidden="1" customWidth="1" outlineLevel="1"/>
    <col min="21" max="21" width="1.42578125" hidden="1" customWidth="1" outlineLevel="1"/>
    <col min="22" max="22" width="9.140625" hidden="1" customWidth="1" outlineLevel="1" collapsed="1"/>
    <col min="23" max="23" width="3" hidden="1" customWidth="1" outlineLevel="1"/>
    <col min="24" max="24" width="23.7109375" customWidth="1" collapsed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customWidth="1"/>
    <col min="32" max="35" width="12.7109375" customWidth="1"/>
    <col min="36" max="38" width="12.7109375" hidden="1" customWidth="1" outlineLevel="1"/>
    <col min="39" max="39" width="12.7109375" customWidth="1" collapsed="1"/>
    <col min="40" max="40" width="12.7109375" customWidth="1"/>
  </cols>
  <sheetData>
    <row r="1" spans="1:40" ht="25.5" customHeight="1">
      <c r="A1" s="237" t="s">
        <v>129</v>
      </c>
      <c r="B1" s="237" t="s">
        <v>130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</row>
    <row r="2" spans="1:40" ht="18.75">
      <c r="A2" s="537" t="s">
        <v>35</v>
      </c>
      <c r="B2" s="538"/>
      <c r="C2" s="538"/>
      <c r="D2" s="538"/>
      <c r="E2" s="538"/>
      <c r="F2" s="538"/>
      <c r="G2" s="538"/>
      <c r="H2" s="539"/>
      <c r="I2" s="7"/>
      <c r="J2" s="540" t="s">
        <v>36</v>
      </c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2"/>
    </row>
    <row r="3" spans="1:40" ht="15.75" customHeight="1">
      <c r="A3" s="84"/>
      <c r="C3" s="543" t="s">
        <v>131</v>
      </c>
      <c r="D3" s="544"/>
      <c r="E3" s="543" t="s">
        <v>38</v>
      </c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  <c r="AN3" s="1">
        <f>H9-G12</f>
        <v>52413.758898679203</v>
      </c>
    </row>
    <row r="4" spans="1:40" ht="16.5" customHeight="1">
      <c r="A4" s="85" t="s">
        <v>43</v>
      </c>
      <c r="B4" s="5" t="s">
        <v>44</v>
      </c>
      <c r="C4" s="83">
        <f>G4/3*2</f>
        <v>271703.91333333333</v>
      </c>
      <c r="E4" s="83">
        <f>Y10/3</f>
        <v>135318.62333333332</v>
      </c>
      <c r="G4" s="153">
        <f>Y10+Y11</f>
        <v>407555.87</v>
      </c>
      <c r="H4" s="86">
        <f>D4+F4</f>
        <v>0</v>
      </c>
      <c r="J4" s="178" t="s">
        <v>45</v>
      </c>
      <c r="K4" s="32" t="s">
        <v>104</v>
      </c>
      <c r="L4" s="31" t="s">
        <v>105</v>
      </c>
      <c r="M4" s="170" t="s">
        <v>106</v>
      </c>
      <c r="N4" s="170" t="s">
        <v>107</v>
      </c>
      <c r="O4" s="32" t="s">
        <v>108</v>
      </c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v>1</v>
      </c>
      <c r="Z4" s="116"/>
      <c r="AA4" s="30" t="s">
        <v>45</v>
      </c>
      <c r="AB4" s="32" t="s">
        <v>132</v>
      </c>
      <c r="AC4" s="31" t="s">
        <v>105</v>
      </c>
      <c r="AD4" s="170" t="s">
        <v>106</v>
      </c>
      <c r="AE4" s="170" t="s">
        <v>107</v>
      </c>
      <c r="AF4" s="32" t="s">
        <v>133</v>
      </c>
      <c r="AG4" s="170" t="s">
        <v>134</v>
      </c>
      <c r="AH4" s="32" t="s">
        <v>126</v>
      </c>
      <c r="AI4" s="32" t="s">
        <v>135</v>
      </c>
      <c r="AJ4" s="32"/>
      <c r="AK4" s="32"/>
      <c r="AL4" s="32"/>
      <c r="AM4" s="529" t="s">
        <v>51</v>
      </c>
      <c r="AN4">
        <f>AN3/AM7</f>
        <v>18.191073754699879</v>
      </c>
    </row>
    <row r="5" spans="1:40">
      <c r="A5" s="85" t="s">
        <v>53</v>
      </c>
      <c r="B5" s="5" t="s">
        <v>54</v>
      </c>
      <c r="C5" s="192">
        <f>C6+C7+C8+C9+C10+C11+C13+C14+C16+C15+C12</f>
        <v>173492.43445081249</v>
      </c>
      <c r="D5" s="5"/>
      <c r="E5" s="192">
        <f>E6+E7+E8+E9+E10+E11+E13+E14+E16+E15+E12</f>
        <v>105882.70201453334</v>
      </c>
      <c r="F5" s="5"/>
      <c r="G5" s="154">
        <f>G6+G7+G8+G9+G10+G11+G13+G14+G16+G15+G12</f>
        <v>279375.1364653458</v>
      </c>
      <c r="H5" s="87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V7+V8</f>
        <v>3.9413150991017814E-3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40">
      <c r="A6" s="88" t="s">
        <v>56</v>
      </c>
      <c r="B6" s="81" t="s">
        <v>57</v>
      </c>
      <c r="C6" s="19">
        <f>3211+1760.65+632.19*2+2785.85+2896.73-52.85-12.79*2-54.17+102.58+4913.44-95.84+6513.46+10404.2+41.13+43.75+17.45+4117.49-71.37+65.5+1.45+64.95-35+39.41+58+25.35+16.7+32.75+37.95+1819.94+890.3-135.4+44.2+143.6+26.2+48.6+9.29+3.75+12.95+30.5+15.9+29.5+8.35+13.5+22.45+53+60.2+13.7+421.54+298.43+17.95+14.2+41.85+40.8+44.45+173.74+76.4+51.75+913.33+65.25+103.9+187+40.15+7.6+60.15+221.2+82.45+7.95+18.95+55.25+54.75+98+23.22+67+26.7+6.95+87.38</f>
        <v>44498.179999999942</v>
      </c>
      <c r="D6" s="13">
        <f>C6+C7+C8</f>
        <v>98904.379999999946</v>
      </c>
      <c r="E6" s="13">
        <f>94.46+202+8977.15+146.21-329.06+63.95+23.82+63.9+9.8+49.7+113.05+2.95+9.94+7.4+93.65+24.7+26.84+44.69+165.1+115+40.8+69.55+8.2+1075.85+224.1+139.4+91.35+1134+160+1134+62.05+56.89+7.45+122.69+91.5+648.99+116.55+54.14+628.99+35.15+266.52+32.11</f>
        <v>16105.529999999999</v>
      </c>
      <c r="F6" s="13">
        <f>E6+E7+E8</f>
        <v>74066.44</v>
      </c>
      <c r="G6" s="9">
        <f>C6+E6</f>
        <v>60603.709999999941</v>
      </c>
      <c r="H6" s="90">
        <f>G6+G7+G8</f>
        <v>172970.81999999995</v>
      </c>
      <c r="J6" s="180"/>
      <c r="K6" s="40">
        <v>0.2</v>
      </c>
      <c r="L6" s="40">
        <v>0.4</v>
      </c>
      <c r="M6" s="40">
        <v>0.6</v>
      </c>
      <c r="N6" s="40">
        <v>0.8</v>
      </c>
      <c r="O6" s="40">
        <v>1</v>
      </c>
      <c r="P6" s="40"/>
      <c r="Q6" s="40"/>
      <c r="R6" s="40"/>
      <c r="S6" s="40"/>
      <c r="T6" s="40"/>
      <c r="U6" s="41"/>
      <c r="V6" s="40">
        <f>O6</f>
        <v>1</v>
      </c>
      <c r="X6" s="531" t="s">
        <v>58</v>
      </c>
      <c r="Y6" s="532"/>
      <c r="AA6" s="42"/>
      <c r="AB6" s="43">
        <f>AM6/8</f>
        <v>360.125</v>
      </c>
      <c r="AC6" s="43">
        <f>AB6</f>
        <v>360.125</v>
      </c>
      <c r="AD6" s="43">
        <f>AB6</f>
        <v>360.125</v>
      </c>
      <c r="AE6" s="43">
        <f>AB6</f>
        <v>360.125</v>
      </c>
      <c r="AF6" s="43">
        <f>AB6</f>
        <v>360.125</v>
      </c>
      <c r="AG6" s="43">
        <f>AB6</f>
        <v>360.125</v>
      </c>
      <c r="AH6" s="44">
        <f>AB6</f>
        <v>360.125</v>
      </c>
      <c r="AI6" s="44">
        <f>AB6</f>
        <v>360.125</v>
      </c>
      <c r="AJ6" s="44"/>
      <c r="AK6" s="44"/>
      <c r="AL6" s="44"/>
      <c r="AM6" s="121">
        <v>2881</v>
      </c>
    </row>
    <row r="7" spans="1:40">
      <c r="A7" s="91" t="s">
        <v>59</v>
      </c>
      <c r="B7" s="92" t="s">
        <v>60</v>
      </c>
      <c r="C7" s="134">
        <f>250+400</f>
        <v>650</v>
      </c>
      <c r="D7" s="13"/>
      <c r="E7" s="156">
        <f>1900+930+550+980+350</f>
        <v>4710</v>
      </c>
      <c r="F7" s="13"/>
      <c r="G7" s="9">
        <f t="shared" ref="G7:G16" si="0">C7+E7</f>
        <v>5360</v>
      </c>
      <c r="H7" s="90"/>
      <c r="J7" s="181"/>
      <c r="K7" s="48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f>N7</f>
        <v>0</v>
      </c>
      <c r="X7" s="49" t="s">
        <v>52</v>
      </c>
      <c r="Y7" s="50">
        <f>AM6/Y13</f>
        <v>6.5477272727272728</v>
      </c>
      <c r="AA7" s="51"/>
      <c r="AB7" s="52">
        <f>20.5+19+19+19+38.87+36.78+36.68+36.65</f>
        <v>226.48000000000002</v>
      </c>
      <c r="AC7" s="53">
        <f>47+57+60.35+57.55+57.87+47.8+57.6+58.03</f>
        <v>443.20000000000005</v>
      </c>
      <c r="AD7" s="53">
        <f>59+58+58.72+58.42+58.88+58.38+58.93+59.05</f>
        <v>469.38</v>
      </c>
      <c r="AE7" s="53">
        <f>59+59+60.2+59.05+60.15+59.15+60.32+7+52.73</f>
        <v>476.59999999999997</v>
      </c>
      <c r="AF7" s="53">
        <f>12+12+48.9+46.53+46.52+30.93+46.47+46.55+46.27+46.53</f>
        <v>382.70000000000005</v>
      </c>
      <c r="AG7" s="53">
        <f>538.57</f>
        <v>538.57000000000005</v>
      </c>
      <c r="AH7" s="54">
        <v>245.39</v>
      </c>
      <c r="AI7" s="54">
        <v>98.97</v>
      </c>
      <c r="AJ7" s="54"/>
      <c r="AK7" s="54"/>
      <c r="AL7" s="54"/>
      <c r="AM7" s="167">
        <f>AB7+AC7+AD7+AE7+AF7+AG7+AL7+AH7+AI7+AJ7+AK7</f>
        <v>2881.2899999999995</v>
      </c>
    </row>
    <row r="8" spans="1:40">
      <c r="A8" s="93" t="s">
        <v>61</v>
      </c>
      <c r="B8" s="82" t="s">
        <v>62</v>
      </c>
      <c r="C8" s="155">
        <f>25666.2*2+523.8+1900</f>
        <v>53756.200000000004</v>
      </c>
      <c r="D8" s="14"/>
      <c r="E8" s="157">
        <f>553.6+4135+379.05+850+2952.15+3675+5703.6+3675+1300+16530.01+9240+2544.3+1713.2</f>
        <v>53250.91</v>
      </c>
      <c r="F8" s="14"/>
      <c r="G8" s="9">
        <f t="shared" si="0"/>
        <v>107007.11000000002</v>
      </c>
      <c r="H8" s="95"/>
      <c r="J8" s="182"/>
      <c r="K8" s="55"/>
      <c r="L8" s="56">
        <f>Y11/Y10</f>
        <v>3.9413150991017814E-3</v>
      </c>
      <c r="M8" s="55"/>
      <c r="N8" s="56"/>
      <c r="O8" s="57"/>
      <c r="P8" s="56"/>
      <c r="Q8" s="58"/>
      <c r="R8" s="58"/>
      <c r="S8" s="58"/>
      <c r="T8" s="58"/>
      <c r="U8" s="58"/>
      <c r="V8" s="56">
        <f>SUM(K8:U8)</f>
        <v>3.9413150991017814E-3</v>
      </c>
      <c r="X8" s="59" t="s">
        <v>55</v>
      </c>
      <c r="Y8" s="77">
        <f>AM7/Y13</f>
        <v>6.5483863636363626</v>
      </c>
      <c r="AM8" s="105"/>
    </row>
    <row r="9" spans="1:40">
      <c r="A9" s="88" t="s">
        <v>63</v>
      </c>
      <c r="B9" s="81" t="s">
        <v>64</v>
      </c>
      <c r="C9" s="367">
        <f>((20.5*14+19*2*13+19*13.5+23043.33)-C13)*1.42</f>
        <v>17012.778600000001</v>
      </c>
      <c r="D9" s="151">
        <f>C9+C10+C11+C13+C12</f>
        <v>53827.45445081254</v>
      </c>
      <c r="E9" s="354">
        <f>((391.77*14+348.59*13+132.57*15)-E13)*1.42</f>
        <v>8882.1</v>
      </c>
      <c r="F9" s="137">
        <f>E9+E10+E11+E13+E12</f>
        <v>27077.882014533334</v>
      </c>
      <c r="G9" s="24">
        <f t="shared" si="0"/>
        <v>25894.878600000004</v>
      </c>
      <c r="H9" s="96">
        <f>G9+G10+G11+G13+G12</f>
        <v>80905.33646534587</v>
      </c>
      <c r="J9" s="84"/>
      <c r="AM9" s="105"/>
    </row>
    <row r="10" spans="1:40">
      <c r="A10" s="91" t="s">
        <v>65</v>
      </c>
      <c r="B10" s="92" t="s">
        <v>66</v>
      </c>
      <c r="C10" s="134">
        <f>C9*0.2359</f>
        <v>4013.3144717400005</v>
      </c>
      <c r="D10" s="13"/>
      <c r="E10" s="156">
        <f>E9*0.2359</f>
        <v>2095.28739</v>
      </c>
      <c r="F10" s="89"/>
      <c r="G10" s="25">
        <f t="shared" si="0"/>
        <v>6108.6018617400005</v>
      </c>
      <c r="H10" s="95"/>
      <c r="J10" s="84"/>
      <c r="X10" s="10" t="s">
        <v>67</v>
      </c>
      <c r="Y10" s="232">
        <v>405955.87</v>
      </c>
      <c r="AM10" s="105"/>
    </row>
    <row r="11" spans="1:40">
      <c r="A11" s="91" t="s">
        <v>68</v>
      </c>
      <c r="B11" s="92" t="s">
        <v>69</v>
      </c>
      <c r="C11" s="134">
        <f>(C9+C10)*0.08</f>
        <v>1682.0874457392001</v>
      </c>
      <c r="D11" s="13"/>
      <c r="E11" s="156">
        <f>(E9+E10)*0.08</f>
        <v>878.19099119999998</v>
      </c>
      <c r="F11" s="89"/>
      <c r="G11" s="25">
        <f t="shared" si="0"/>
        <v>2560.2784369392002</v>
      </c>
      <c r="H11" s="95"/>
      <c r="J11" s="84"/>
      <c r="X11" s="62" t="s">
        <v>70</v>
      </c>
      <c r="Y11" s="201">
        <f>1600</f>
        <v>1600</v>
      </c>
      <c r="AM11" s="105"/>
    </row>
    <row r="12" spans="1:40">
      <c r="A12" s="97" t="s">
        <v>71</v>
      </c>
      <c r="B12" s="98" t="s">
        <v>72</v>
      </c>
      <c r="C12" s="135">
        <f>(C4)*0.07</f>
        <v>19019.273933333334</v>
      </c>
      <c r="D12" s="142"/>
      <c r="E12" s="159">
        <f>(E4)*0.07</f>
        <v>9472.303633333333</v>
      </c>
      <c r="F12" s="131"/>
      <c r="G12" s="25">
        <f t="shared" si="0"/>
        <v>28491.577566666667</v>
      </c>
      <c r="H12" s="95"/>
      <c r="J12" s="84"/>
      <c r="AM12" s="105"/>
    </row>
    <row r="13" spans="1:40">
      <c r="A13" s="91" t="s">
        <v>73</v>
      </c>
      <c r="B13" s="92" t="s">
        <v>74</v>
      </c>
      <c r="C13" s="139">
        <f>12*50+230*50</f>
        <v>12100</v>
      </c>
      <c r="D13" s="143"/>
      <c r="E13" s="162">
        <v>5750</v>
      </c>
      <c r="F13" s="133"/>
      <c r="G13" s="26">
        <f t="shared" si="0"/>
        <v>17850</v>
      </c>
      <c r="H13" s="99"/>
      <c r="J13" s="84"/>
      <c r="X13" s="64" t="s">
        <v>75</v>
      </c>
      <c r="Y13" s="382">
        <v>440</v>
      </c>
      <c r="AM13" s="105"/>
    </row>
    <row r="14" spans="1:40">
      <c r="A14" s="100" t="s">
        <v>76</v>
      </c>
      <c r="B14" s="81" t="s">
        <v>77</v>
      </c>
      <c r="C14" s="134">
        <f>1917.44+84.92+1977.36*2+80+539.28+2876.16*2-98.87*2+719.04+90</f>
        <v>12939.98</v>
      </c>
      <c r="D14" s="13">
        <f>C14+C16+C15</f>
        <v>20760.599999999999</v>
      </c>
      <c r="E14" s="159">
        <f>108.9+57.89+144+50+108.9*3</f>
        <v>687.49</v>
      </c>
      <c r="F14" s="13">
        <f>E14+E16+E15</f>
        <v>4738.38</v>
      </c>
      <c r="G14" s="9">
        <f t="shared" si="0"/>
        <v>13627.47</v>
      </c>
      <c r="H14" s="95">
        <f>G14+G16+G15</f>
        <v>25498.98</v>
      </c>
      <c r="J14" s="84"/>
      <c r="X14" s="66" t="s">
        <v>78</v>
      </c>
      <c r="Y14" s="66" t="s">
        <v>79</v>
      </c>
      <c r="AM14" s="105"/>
    </row>
    <row r="15" spans="1:40">
      <c r="A15" s="101" t="s">
        <v>80</v>
      </c>
      <c r="B15" s="92" t="s">
        <v>81</v>
      </c>
      <c r="C15" s="134">
        <f>207.02+273.99+154.63+476.04+3.8+2.1+6.5+106.16+146.56+160.1+188.52+104.99+106.54+24.35+81.91+153.99+217.99+321.98+55.3+120.9</f>
        <v>2913.37</v>
      </c>
      <c r="D15" s="13"/>
      <c r="E15" s="142">
        <f>236.8+133.57+432.27+233.55+186.45+452.78</f>
        <v>1675.42</v>
      </c>
      <c r="F15" s="13"/>
      <c r="G15" s="9">
        <f t="shared" si="0"/>
        <v>4588.79</v>
      </c>
      <c r="H15" s="95"/>
      <c r="J15" s="84"/>
      <c r="X15" s="67" t="s">
        <v>82</v>
      </c>
      <c r="Y15" s="68">
        <v>13</v>
      </c>
      <c r="AM15" s="105"/>
    </row>
    <row r="16" spans="1:40">
      <c r="A16" s="91" t="s">
        <v>83</v>
      </c>
      <c r="B16" s="92" t="s">
        <v>84</v>
      </c>
      <c r="C16" s="19">
        <f>125+50+5+21.9+36.4+105.81+157.02+137.42+1177.1+334.09+64.96+6+6+173.6+320.24+30+28.75+2127.96</f>
        <v>4907.25</v>
      </c>
      <c r="D16" s="13"/>
      <c r="E16" s="156">
        <f>13.92+28.5+90+102.02+26.81+375.24+19.98+231.7+377.4+79.9+30+1000</f>
        <v>2375.4700000000003</v>
      </c>
      <c r="F16" s="13"/>
      <c r="G16" s="9">
        <f t="shared" si="0"/>
        <v>7282.72</v>
      </c>
      <c r="H16" s="95"/>
      <c r="J16" s="84"/>
      <c r="X16" s="67" t="s">
        <v>85</v>
      </c>
      <c r="Y16" s="68">
        <v>12</v>
      </c>
      <c r="AM16" s="105"/>
    </row>
    <row r="17" spans="1:39">
      <c r="A17" s="85" t="s">
        <v>86</v>
      </c>
      <c r="B17" s="5" t="s">
        <v>87</v>
      </c>
      <c r="C17" s="185">
        <f>C4-C5</f>
        <v>98211.478882520838</v>
      </c>
      <c r="D17" s="129">
        <f>C17/C4</f>
        <v>0.36146508777748987</v>
      </c>
      <c r="E17" s="375">
        <f>E4-E5</f>
        <v>29435.921318799985</v>
      </c>
      <c r="F17" s="130">
        <f>E17/E4</f>
        <v>0.21753045215579703</v>
      </c>
      <c r="G17" s="16">
        <f>G4-G5</f>
        <v>128180.73353465419</v>
      </c>
      <c r="H17" s="102">
        <f>G17/G4</f>
        <v>0.31451082653932622</v>
      </c>
      <c r="J17" s="84"/>
      <c r="AM17" s="105"/>
    </row>
    <row r="18" spans="1:39" ht="20.25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33" t="s">
        <v>88</v>
      </c>
      <c r="L18" s="534"/>
      <c r="M18" s="534"/>
      <c r="N18" s="534"/>
      <c r="O18" s="534"/>
      <c r="P18" s="534"/>
      <c r="Q18" s="534"/>
      <c r="R18" s="534"/>
      <c r="S18" s="534"/>
      <c r="T18" s="534"/>
      <c r="U18" s="535"/>
      <c r="V18" s="29"/>
      <c r="X18" s="520" t="s">
        <v>89</v>
      </c>
      <c r="Y18" s="520"/>
      <c r="AA18" s="27" t="s">
        <v>40</v>
      </c>
      <c r="AB18" s="533" t="s">
        <v>90</v>
      </c>
      <c r="AC18" s="534"/>
      <c r="AD18" s="534"/>
      <c r="AE18" s="534"/>
      <c r="AF18" s="534"/>
      <c r="AG18" s="534"/>
      <c r="AH18" s="534"/>
      <c r="AI18" s="534"/>
      <c r="AJ18" s="534"/>
      <c r="AK18" s="534"/>
      <c r="AL18" s="535"/>
      <c r="AM18" s="117"/>
    </row>
    <row r="19" spans="1:39" ht="24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32" t="s">
        <v>104</v>
      </c>
      <c r="L19" s="31" t="s">
        <v>105</v>
      </c>
      <c r="M19" s="170" t="s">
        <v>106</v>
      </c>
      <c r="N19" s="170" t="s">
        <v>107</v>
      </c>
      <c r="O19" s="32" t="s">
        <v>108</v>
      </c>
      <c r="P19" s="32"/>
      <c r="Q19" s="31"/>
      <c r="R19" s="31"/>
      <c r="S19" s="31"/>
      <c r="T19" s="31"/>
      <c r="U19" s="31"/>
      <c r="V19" s="516" t="s">
        <v>51</v>
      </c>
      <c r="X19" s="69" t="s">
        <v>52</v>
      </c>
      <c r="Y19" s="50">
        <v>69489</v>
      </c>
      <c r="AA19" s="30" t="s">
        <v>45</v>
      </c>
      <c r="AB19" s="32" t="s">
        <v>132</v>
      </c>
      <c r="AC19" s="31" t="s">
        <v>105</v>
      </c>
      <c r="AD19" s="170" t="s">
        <v>106</v>
      </c>
      <c r="AE19" s="170" t="s">
        <v>107</v>
      </c>
      <c r="AF19" s="32" t="s">
        <v>133</v>
      </c>
      <c r="AG19" s="170" t="s">
        <v>134</v>
      </c>
      <c r="AH19" s="32" t="s">
        <v>126</v>
      </c>
      <c r="AI19" s="32" t="s">
        <v>135</v>
      </c>
      <c r="AJ19" s="31"/>
      <c r="AK19" s="31"/>
      <c r="AL19" s="31"/>
      <c r="AM19" s="518" t="s">
        <v>51</v>
      </c>
    </row>
    <row r="20" spans="1:39">
      <c r="A20" s="108" t="s">
        <v>93</v>
      </c>
      <c r="B20" s="3">
        <f>H6/G5*100</f>
        <v>61.913462374793525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/>
      <c r="R20" s="70"/>
      <c r="S20" s="70"/>
      <c r="T20" s="70"/>
      <c r="U20" s="70"/>
      <c r="V20" s="517"/>
      <c r="X20" s="71" t="s">
        <v>55</v>
      </c>
      <c r="Y20" s="77">
        <f>G6+G7</f>
        <v>65963.709999999934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>
        <f>H9/G5*100</f>
        <v>28.959390405660351</v>
      </c>
      <c r="C21" s="109"/>
      <c r="D21" s="109"/>
      <c r="E21" s="109"/>
      <c r="F21" s="109"/>
      <c r="H21" s="105"/>
      <c r="J21" s="125"/>
      <c r="K21" s="73">
        <f>V21/4</f>
        <v>17372.25</v>
      </c>
      <c r="L21" s="73">
        <f>K21</f>
        <v>17372.25</v>
      </c>
      <c r="M21" s="73">
        <f>K21</f>
        <v>17372.25</v>
      </c>
      <c r="N21" s="73">
        <f>V21/4</f>
        <v>17372.25</v>
      </c>
      <c r="O21" s="73"/>
      <c r="P21" s="73"/>
      <c r="Q21" s="73"/>
      <c r="R21" s="73"/>
      <c r="S21" s="73"/>
      <c r="T21" s="73"/>
      <c r="U21" s="73"/>
      <c r="V21" s="74">
        <f>Y19</f>
        <v>69489</v>
      </c>
      <c r="X21" s="520" t="s">
        <v>90</v>
      </c>
      <c r="Y21" s="520"/>
      <c r="AA21" s="72"/>
      <c r="AB21" s="73">
        <f>AM21/8</f>
        <v>1300</v>
      </c>
      <c r="AC21" s="73">
        <f>AB21</f>
        <v>1300</v>
      </c>
      <c r="AD21" s="73">
        <f>AB21</f>
        <v>1300</v>
      </c>
      <c r="AE21" s="73">
        <f>AB21</f>
        <v>1300</v>
      </c>
      <c r="AF21" s="73">
        <f>AB21</f>
        <v>1300</v>
      </c>
      <c r="AG21" s="73">
        <f>AB21</f>
        <v>1300</v>
      </c>
      <c r="AH21" s="73">
        <f>AB21</f>
        <v>1300</v>
      </c>
      <c r="AI21" s="73">
        <f>AB21</f>
        <v>1300</v>
      </c>
      <c r="AJ21" s="73"/>
      <c r="AK21" s="73"/>
      <c r="AL21" s="73"/>
      <c r="AM21" s="126">
        <f>Y22</f>
        <v>10400</v>
      </c>
    </row>
    <row r="22" spans="1:39">
      <c r="A22" s="111" t="s">
        <v>95</v>
      </c>
      <c r="B22" s="2">
        <f>H14/G5*100</f>
        <v>9.1271472195461243</v>
      </c>
      <c r="C22" s="109"/>
      <c r="D22" s="109"/>
      <c r="E22" s="109"/>
      <c r="F22" s="109"/>
      <c r="H22" s="105"/>
      <c r="J22" s="12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63">
        <f t="shared" ref="V22" si="1">K22+L22+M22+N22+O22+P22+U22+Q22+R22+S22+T22</f>
        <v>0</v>
      </c>
      <c r="X22" s="69" t="s">
        <v>52</v>
      </c>
      <c r="Y22" s="50">
        <f>3000+6000+1400</f>
        <v>10400</v>
      </c>
      <c r="AA22" s="72"/>
      <c r="AB22" s="75">
        <f>207.02+273.99+154.63+476.04+1917.44+80+84.92+3.8+2.1+6.5+106.16+146.56+539.28+2876.16+160.1+188.52</f>
        <v>7223.22</v>
      </c>
      <c r="AC22" s="76">
        <f>2876.16</f>
        <v>2876.16</v>
      </c>
      <c r="AD22" s="76">
        <f>104.99+1977.36*2</f>
        <v>4059.7099999999996</v>
      </c>
      <c r="AE22" s="76">
        <f>-98.87*2+106.54+1695.35+90</f>
        <v>1694.1499999999999</v>
      </c>
      <c r="AF22" s="76"/>
      <c r="AG22" s="76">
        <f>236.8+133.57+432.27+233.55+186.45+452.78+144</f>
        <v>1819.42</v>
      </c>
      <c r="AH22" s="76">
        <f>108.9+57.89+50+108.9</f>
        <v>325.69000000000005</v>
      </c>
      <c r="AI22" s="76">
        <f>108.9*2</f>
        <v>217.8</v>
      </c>
      <c r="AJ22" s="76"/>
      <c r="AK22" s="76"/>
      <c r="AL22" s="76"/>
      <c r="AM22" s="166">
        <f>AB22+AC22+AD22+AE22+AF22+AG22+AH22+AI22</f>
        <v>18216.149999999998</v>
      </c>
    </row>
    <row r="23" spans="1:39">
      <c r="A23" s="84"/>
      <c r="H23" s="105"/>
      <c r="J23" s="84"/>
      <c r="X23" s="71" t="s">
        <v>55</v>
      </c>
      <c r="Y23" s="77">
        <f>AM22</f>
        <v>18216.149999999998</v>
      </c>
      <c r="AM23" s="105"/>
    </row>
    <row r="24" spans="1:39">
      <c r="A24" s="84"/>
      <c r="H24" s="105"/>
      <c r="J24" s="84"/>
      <c r="V24" s="128"/>
      <c r="AM24" s="105"/>
    </row>
    <row r="25" spans="1:39" ht="26.25" customHeight="1">
      <c r="A25" s="84"/>
      <c r="H25" s="105"/>
      <c r="J25" s="84"/>
      <c r="X25" s="10" t="s">
        <v>96</v>
      </c>
      <c r="Y25" s="145"/>
      <c r="AM25" s="105"/>
    </row>
    <row r="26" spans="1:39" ht="27.75">
      <c r="A26" s="84"/>
      <c r="H26" s="105"/>
      <c r="J26" s="84"/>
      <c r="X26" s="10" t="s">
        <v>97</v>
      </c>
      <c r="Y26" s="78"/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23">
        <v>45355</v>
      </c>
      <c r="Y31" s="524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25"/>
      <c r="Y32" s="526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7" spans="9:9">
      <c r="I37" s="1"/>
    </row>
  </sheetData>
  <mergeCells count="19">
    <mergeCell ref="V19:V20"/>
    <mergeCell ref="AM19:AM20"/>
    <mergeCell ref="X21:Y21"/>
    <mergeCell ref="X30:Y30"/>
    <mergeCell ref="X31:Y32"/>
    <mergeCell ref="V4:V5"/>
    <mergeCell ref="AM4:AM5"/>
    <mergeCell ref="X6:Y6"/>
    <mergeCell ref="K18:U18"/>
    <mergeCell ref="X18:Y18"/>
    <mergeCell ref="AB18:AL18"/>
    <mergeCell ref="A2:H2"/>
    <mergeCell ref="J2:AM2"/>
    <mergeCell ref="C3:D3"/>
    <mergeCell ref="E3:F3"/>
    <mergeCell ref="G3:H3"/>
    <mergeCell ref="K3:U3"/>
    <mergeCell ref="X3:Y3"/>
    <mergeCell ref="AB3:AL3"/>
  </mergeCells>
  <conditionalFormatting sqref="Y23">
    <cfRule type="cellIs" dxfId="35" priority="3" operator="greaterThan">
      <formula>$Y$22</formula>
    </cfRule>
  </conditionalFormatting>
  <conditionalFormatting sqref="Y20">
    <cfRule type="cellIs" dxfId="34" priority="2" operator="greaterThan">
      <formula>$Y$19</formula>
    </cfRule>
  </conditionalFormatting>
  <conditionalFormatting sqref="Y8">
    <cfRule type="cellIs" dxfId="33" priority="1" operator="greaterThan">
      <formula>$Y$7</formula>
    </cfRule>
  </conditionalFormatting>
  <pageMargins left="0.7" right="0.7" top="0.75" bottom="0.75" header="0.3" footer="0.3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4975-3047-41C3-A041-9E5E67974168}">
  <sheetPr>
    <pageSetUpPr fitToPage="1"/>
  </sheetPr>
  <dimension ref="A1:AM64"/>
  <sheetViews>
    <sheetView workbookViewId="0">
      <selection activeCell="G5" sqref="G5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0.7109375" customWidth="1"/>
    <col min="4" max="4" width="11.85546875" customWidth="1"/>
    <col min="5" max="5" width="10.7109375" customWidth="1" outlineLevel="1"/>
    <col min="6" max="6" width="10.140625" customWidth="1" outlineLevel="1"/>
    <col min="7" max="8" width="10.7109375" customWidth="1"/>
    <col min="9" max="9" width="3.28515625" customWidth="1"/>
    <col min="10" max="10" width="0.5703125" hidden="1" customWidth="1" outlineLevel="1"/>
    <col min="11" max="11" width="10.7109375" hidden="1" customWidth="1" outlineLevel="1" collapsed="1"/>
    <col min="12" max="15" width="10.7109375" hidden="1" customWidth="1" outlineLevel="1"/>
    <col min="16" max="16" width="10.28515625" hidden="1" customWidth="1" outlineLevel="1"/>
    <col min="17" max="20" width="9.140625" hidden="1" customWidth="1" outlineLevel="1"/>
    <col min="21" max="21" width="2.85546875" hidden="1" customWidth="1" outlineLevel="1"/>
    <col min="22" max="22" width="9.140625" hidden="1" customWidth="1" outlineLevel="1" collapsed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customWidth="1"/>
    <col min="32" max="33" width="12.7109375" customWidth="1"/>
    <col min="34" max="37" width="12.7109375" hidden="1" customWidth="1" outlineLevel="1"/>
    <col min="38" max="38" width="2.7109375" hidden="1" customWidth="1" outlineLevel="1"/>
    <col min="39" max="39" width="12.7109375" customWidth="1" collapsed="1"/>
    <col min="40" max="40" width="12.7109375" customWidth="1"/>
  </cols>
  <sheetData>
    <row r="1" spans="1:39" ht="25.5" customHeight="1">
      <c r="A1" s="237" t="s">
        <v>136</v>
      </c>
      <c r="B1" s="381" t="s">
        <v>137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</row>
    <row r="2" spans="1:39" ht="18.75">
      <c r="A2" s="537" t="s">
        <v>35</v>
      </c>
      <c r="B2" s="538"/>
      <c r="C2" s="538"/>
      <c r="D2" s="538"/>
      <c r="E2" s="538"/>
      <c r="F2" s="538"/>
      <c r="G2" s="538"/>
      <c r="H2" s="539"/>
      <c r="I2" s="7"/>
      <c r="J2" s="540" t="s">
        <v>36</v>
      </c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2"/>
    </row>
    <row r="3" spans="1:39" ht="15.75" customHeight="1">
      <c r="A3" s="84"/>
      <c r="C3" s="543" t="s">
        <v>138</v>
      </c>
      <c r="D3" s="544"/>
      <c r="E3" s="543" t="s">
        <v>38</v>
      </c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39" ht="16.5" customHeight="1">
      <c r="A4" s="85" t="s">
        <v>43</v>
      </c>
      <c r="B4" s="5" t="s">
        <v>44</v>
      </c>
      <c r="C4" s="83">
        <f>Y10+Y11</f>
        <v>82261.75</v>
      </c>
      <c r="E4" s="83"/>
      <c r="G4" s="153">
        <f>Y10+Y11</f>
        <v>82261.75</v>
      </c>
      <c r="H4" s="235">
        <f>AM6</f>
        <v>1019.94</v>
      </c>
      <c r="J4" s="178" t="s">
        <v>45</v>
      </c>
      <c r="K4" s="31" t="s">
        <v>46</v>
      </c>
      <c r="L4" s="170" t="s">
        <v>47</v>
      </c>
      <c r="M4" s="170" t="s">
        <v>48</v>
      </c>
      <c r="N4" s="32" t="s">
        <v>49</v>
      </c>
      <c r="O4" s="170"/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N6</f>
        <v>1</v>
      </c>
      <c r="Z4" s="116"/>
      <c r="AA4" s="30" t="s">
        <v>45</v>
      </c>
      <c r="AB4" s="31" t="s">
        <v>46</v>
      </c>
      <c r="AC4" s="170" t="s">
        <v>47</v>
      </c>
      <c r="AD4" s="170" t="s">
        <v>139</v>
      </c>
      <c r="AE4" s="32" t="s">
        <v>140</v>
      </c>
      <c r="AF4" s="170" t="s">
        <v>141</v>
      </c>
      <c r="AG4" s="32"/>
      <c r="AH4" s="32"/>
      <c r="AI4" s="32"/>
      <c r="AJ4" s="32"/>
      <c r="AK4" s="32"/>
      <c r="AL4" s="32"/>
      <c r="AM4" s="529" t="s">
        <v>51</v>
      </c>
    </row>
    <row r="5" spans="1:39">
      <c r="A5" s="85" t="s">
        <v>53</v>
      </c>
      <c r="B5" s="5" t="s">
        <v>54</v>
      </c>
      <c r="C5" s="192">
        <f>SUM(C6:C16)</f>
        <v>47770.428508852507</v>
      </c>
      <c r="D5" s="5"/>
      <c r="E5" s="192">
        <f>E6+E7+E8+E9+E10+E11+E13+E14+E16+E15+E12</f>
        <v>5643.8390224800005</v>
      </c>
      <c r="F5" s="5"/>
      <c r="G5" s="154">
        <f>G6+G7+G8+G9+G10+G11+G13+G14+G16+G15+G12</f>
        <v>53414.267531332502</v>
      </c>
      <c r="H5" s="87">
        <f>AM7</f>
        <v>682.81100000000004</v>
      </c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>
        <v>7</v>
      </c>
      <c r="R5" s="80">
        <v>8</v>
      </c>
      <c r="S5" s="80">
        <v>9</v>
      </c>
      <c r="T5" s="80">
        <v>10</v>
      </c>
      <c r="U5" s="36"/>
      <c r="V5" s="528"/>
      <c r="X5" s="37" t="s">
        <v>55</v>
      </c>
      <c r="Y5" s="38">
        <f>V7+V8</f>
        <v>1.0412879746835444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88" t="s">
        <v>56</v>
      </c>
      <c r="B6" s="81" t="s">
        <v>57</v>
      </c>
      <c r="C6" s="19">
        <f>600.84+1144.1+3425.25+341+175.77+613.05+466+139.95+259.66+303.7+113.35+29.8+187.35+87.65+86.17+208.2+57.97+31.99+217.05+140.07+33.96+446.3+409.68+9.74+239.19+66.16+119.96+272+117.77+77+54.36+534.63</f>
        <v>11009.669999999998</v>
      </c>
      <c r="D6" s="13">
        <f>C6+C7+C8</f>
        <v>13315.009999999998</v>
      </c>
      <c r="E6" s="13">
        <f>106.19+278.78+146.53</f>
        <v>531.5</v>
      </c>
      <c r="F6" s="13">
        <f>E6+E7+E8</f>
        <v>1307.3499999999999</v>
      </c>
      <c r="G6" s="9">
        <f>C6+E6</f>
        <v>11541.169999999998</v>
      </c>
      <c r="H6" s="90">
        <f>G6+G7+G8</f>
        <v>14622.359999999999</v>
      </c>
      <c r="J6" s="180"/>
      <c r="K6" s="40">
        <v>0.25</v>
      </c>
      <c r="L6" s="40">
        <v>0.5</v>
      </c>
      <c r="M6" s="40">
        <v>0.75</v>
      </c>
      <c r="N6" s="40">
        <v>1</v>
      </c>
      <c r="O6" s="40"/>
      <c r="P6" s="40"/>
      <c r="Q6" s="40"/>
      <c r="R6" s="40"/>
      <c r="S6" s="40"/>
      <c r="T6" s="40"/>
      <c r="U6" s="41"/>
      <c r="V6" s="40">
        <f>N6</f>
        <v>1</v>
      </c>
      <c r="X6" s="531" t="s">
        <v>58</v>
      </c>
      <c r="Y6" s="532"/>
      <c r="AA6" s="42"/>
      <c r="AB6" s="43">
        <f>AM6/5</f>
        <v>203.988</v>
      </c>
      <c r="AC6" s="43">
        <f>AB6</f>
        <v>203.988</v>
      </c>
      <c r="AD6" s="43">
        <f>AB6</f>
        <v>203.988</v>
      </c>
      <c r="AE6" s="43">
        <f>AD6</f>
        <v>203.988</v>
      </c>
      <c r="AF6" s="43">
        <f>AE6</f>
        <v>203.988</v>
      </c>
      <c r="AG6" s="43"/>
      <c r="AH6" s="44"/>
      <c r="AI6" s="44"/>
      <c r="AJ6" s="44"/>
      <c r="AK6" s="44"/>
      <c r="AL6" s="44"/>
      <c r="AM6" s="121">
        <f>519.94+500</f>
        <v>1019.94</v>
      </c>
    </row>
    <row r="7" spans="1:39">
      <c r="A7" s="91" t="s">
        <v>59</v>
      </c>
      <c r="B7" s="92" t="s">
        <v>60</v>
      </c>
      <c r="C7" s="134">
        <f>350+980+500+300</f>
        <v>2130</v>
      </c>
      <c r="D7" s="13"/>
      <c r="E7" s="156"/>
      <c r="F7" s="13"/>
      <c r="G7" s="9">
        <f t="shared" ref="G7:G16" si="0">C7+E7</f>
        <v>2130</v>
      </c>
      <c r="H7" s="90"/>
      <c r="J7" s="181"/>
      <c r="K7" s="48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v>1</v>
      </c>
      <c r="X7" s="49" t="s">
        <v>52</v>
      </c>
      <c r="Y7" s="50">
        <f>AM6/Y13</f>
        <v>7.9521284890067063</v>
      </c>
      <c r="AA7" s="51"/>
      <c r="AB7" s="52">
        <f>11.5*4+27.25+27.43+27.22+27.47</f>
        <v>155.37</v>
      </c>
      <c r="AC7" s="53">
        <f>41.87+57.22+57.6+57.02</f>
        <v>213.71</v>
      </c>
      <c r="AD7" s="53">
        <f>60.63+60.5</f>
        <v>121.13</v>
      </c>
      <c r="AE7" s="53">
        <f>37.73+37.37+58.88+58.621</f>
        <v>192.601</v>
      </c>
      <c r="AF7" s="53">
        <f>40.55+45.1+33.23+44.63</f>
        <v>163.51</v>
      </c>
      <c r="AG7" s="53">
        <f>30.75+30.92</f>
        <v>61.67</v>
      </c>
      <c r="AH7" s="54"/>
      <c r="AI7" s="54"/>
      <c r="AJ7" s="54"/>
      <c r="AK7" s="54"/>
      <c r="AL7" s="54"/>
      <c r="AM7" s="167">
        <f>AB7+AC7+AD7+AE7</f>
        <v>682.81100000000004</v>
      </c>
    </row>
    <row r="8" spans="1:39">
      <c r="A8" s="93" t="s">
        <v>61</v>
      </c>
      <c r="B8" s="82" t="s">
        <v>62</v>
      </c>
      <c r="C8" s="155">
        <v>175.34</v>
      </c>
      <c r="D8" s="14"/>
      <c r="E8" s="157">
        <f>300+475.85</f>
        <v>775.85</v>
      </c>
      <c r="F8" s="14"/>
      <c r="G8" s="9">
        <f t="shared" si="0"/>
        <v>951.19</v>
      </c>
      <c r="H8" s="95"/>
      <c r="J8" s="182"/>
      <c r="K8" s="55"/>
      <c r="L8" s="55"/>
      <c r="M8" s="55"/>
      <c r="N8" s="56"/>
      <c r="O8" s="57"/>
      <c r="P8" s="56">
        <f>Y11/Y10</f>
        <v>4.1287974683544303E-2</v>
      </c>
      <c r="Q8" s="55"/>
      <c r="R8" s="55"/>
      <c r="S8" s="55"/>
      <c r="T8" s="55"/>
      <c r="U8" s="55"/>
      <c r="V8" s="56">
        <f>SUM(K8:U8)</f>
        <v>4.1287974683544303E-2</v>
      </c>
      <c r="X8" s="59" t="s">
        <v>55</v>
      </c>
      <c r="Y8" s="77">
        <f>AM7/Y13</f>
        <v>5.3236472789646037</v>
      </c>
      <c r="AM8" s="105"/>
    </row>
    <row r="9" spans="1:39">
      <c r="A9" s="88" t="s">
        <v>63</v>
      </c>
      <c r="B9" s="81" t="s">
        <v>64</v>
      </c>
      <c r="C9" s="367">
        <f>((11.5*2*15+11.5*2*12+3000/22*3+14195.34)-C13)*1.42</f>
        <v>9905.1118909090892</v>
      </c>
      <c r="D9" s="151">
        <f>C9+C10+C11+C13+C12</f>
        <v>27229.388508852506</v>
      </c>
      <c r="E9" s="354">
        <f>(62*15-E13+947)*1.42</f>
        <v>1600.34</v>
      </c>
      <c r="F9" s="137">
        <f>E9+E10+E11+E13+E12</f>
        <v>2886.0890224799996</v>
      </c>
      <c r="G9" s="24">
        <f t="shared" si="0"/>
        <v>11505.451890909089</v>
      </c>
      <c r="H9" s="96">
        <f>G9+G10+G11+G13+G12</f>
        <v>30115.477531332508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2336.615895065454</v>
      </c>
      <c r="D10" s="13"/>
      <c r="E10" s="355">
        <f>E9*0.2359</f>
        <v>377.52020599999997</v>
      </c>
      <c r="F10" s="89"/>
      <c r="G10" s="25">
        <f t="shared" si="0"/>
        <v>2714.1361010654541</v>
      </c>
      <c r="H10" s="95"/>
      <c r="J10" s="84"/>
      <c r="X10" s="10" t="s">
        <v>67</v>
      </c>
      <c r="Y10" s="61">
        <v>79000</v>
      </c>
      <c r="AM10" s="105"/>
    </row>
    <row r="11" spans="1:39">
      <c r="A11" s="91" t="s">
        <v>68</v>
      </c>
      <c r="B11" s="92" t="s">
        <v>69</v>
      </c>
      <c r="C11" s="134">
        <f>(C9+C10)*0.08</f>
        <v>979.3382228779634</v>
      </c>
      <c r="D11" s="13"/>
      <c r="E11" s="355">
        <f>(E9+E10)*0.08</f>
        <v>158.22881647999998</v>
      </c>
      <c r="F11" s="89"/>
      <c r="G11" s="25">
        <f t="shared" si="0"/>
        <v>1137.5670393579635</v>
      </c>
      <c r="H11" s="95"/>
      <c r="J11" s="84"/>
      <c r="X11" s="62" t="s">
        <v>70</v>
      </c>
      <c r="Y11" s="201">
        <v>3261.75</v>
      </c>
      <c r="AM11" s="105"/>
    </row>
    <row r="12" spans="1:39">
      <c r="A12" s="97" t="s">
        <v>71</v>
      </c>
      <c r="B12" s="98" t="s">
        <v>72</v>
      </c>
      <c r="C12" s="135">
        <f>(C4)*0.07</f>
        <v>5758.3225000000002</v>
      </c>
      <c r="D12" s="142"/>
      <c r="E12" s="355">
        <f>(E4)*0.07</f>
        <v>0</v>
      </c>
      <c r="F12" s="131"/>
      <c r="G12" s="25">
        <f t="shared" si="0"/>
        <v>5758.3225000000002</v>
      </c>
      <c r="H12" s="95"/>
      <c r="J12" s="84"/>
      <c r="AM12" s="105"/>
    </row>
    <row r="13" spans="1:39">
      <c r="A13" s="91" t="s">
        <v>73</v>
      </c>
      <c r="B13" s="92" t="s">
        <v>74</v>
      </c>
      <c r="C13" s="370">
        <f>50*2*5+155*50</f>
        <v>8250</v>
      </c>
      <c r="D13" s="143"/>
      <c r="E13" s="497">
        <f>3*5*50</f>
        <v>750</v>
      </c>
      <c r="F13" s="133"/>
      <c r="G13" s="26">
        <f t="shared" si="0"/>
        <v>9000</v>
      </c>
      <c r="H13" s="99"/>
      <c r="J13" s="84"/>
      <c r="X13" s="64" t="s">
        <v>75</v>
      </c>
      <c r="Y13" s="65">
        <f>64.97+63.29</f>
        <v>128.26</v>
      </c>
      <c r="AM13" s="105"/>
    </row>
    <row r="14" spans="1:39">
      <c r="A14" s="100" t="s">
        <v>76</v>
      </c>
      <c r="B14" s="81" t="s">
        <v>77</v>
      </c>
      <c r="C14" s="19">
        <f>2400+387+33.5+135.5+1320+360</f>
        <v>4636</v>
      </c>
      <c r="D14" s="156">
        <f>C14+C16+C15</f>
        <v>7226.0300000000007</v>
      </c>
      <c r="E14" s="156">
        <f>654+148.17</f>
        <v>802.17</v>
      </c>
      <c r="F14" s="13">
        <f>E14+E16+E15</f>
        <v>1450.4</v>
      </c>
      <c r="G14" s="9">
        <f t="shared" si="0"/>
        <v>5438.17</v>
      </c>
      <c r="H14" s="95">
        <f>G14+G16+G15</f>
        <v>8676.43</v>
      </c>
      <c r="J14" s="84"/>
      <c r="X14" s="66" t="s">
        <v>78</v>
      </c>
      <c r="Y14" s="66" t="s">
        <v>79</v>
      </c>
      <c r="AM14" s="105"/>
    </row>
    <row r="15" spans="1:39">
      <c r="A15" s="101" t="s">
        <v>80</v>
      </c>
      <c r="B15" s="92" t="s">
        <v>81</v>
      </c>
      <c r="C15" s="134">
        <f>402.01+21.5+16.6+28+16.6+165.15+25.6+311.99+31.9+10</f>
        <v>1029.3499999999999</v>
      </c>
      <c r="D15" s="13"/>
      <c r="E15" s="13"/>
      <c r="F15" s="13"/>
      <c r="G15" s="9">
        <f t="shared" si="0"/>
        <v>1029.3499999999999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34">
        <f>216.52+125+135.5+15+12+21.5+48+124.04+25+9.2+62.4+2+50+50+113.95+5+48+277.5+12+10+5+24+6.5+32.97+47.1+13.9+68.6</f>
        <v>1560.68</v>
      </c>
      <c r="D16" s="13"/>
      <c r="E16" s="156">
        <f>65.03+100.96+104.95+377.29</f>
        <v>648.23</v>
      </c>
      <c r="F16" s="13"/>
      <c r="G16" s="9">
        <f t="shared" si="0"/>
        <v>2208.91</v>
      </c>
      <c r="H16" s="95"/>
      <c r="J16" s="84"/>
      <c r="X16" s="67" t="s">
        <v>85</v>
      </c>
      <c r="Y16" s="68">
        <v>12</v>
      </c>
      <c r="AM16" s="105"/>
    </row>
    <row r="17" spans="1:39">
      <c r="A17" s="85" t="s">
        <v>86</v>
      </c>
      <c r="B17" s="5" t="s">
        <v>87</v>
      </c>
      <c r="C17" s="185">
        <f>C4-C5</f>
        <v>34491.321491147493</v>
      </c>
      <c r="D17" s="129">
        <f>C17/C4</f>
        <v>0.41928747554176143</v>
      </c>
      <c r="E17" s="185">
        <f>E4-E5</f>
        <v>-5643.8390224800005</v>
      </c>
      <c r="F17" s="130" t="e">
        <f>E17/E4</f>
        <v>#DIV/0!</v>
      </c>
      <c r="G17" s="16">
        <f>G4-G5</f>
        <v>28847.482468667498</v>
      </c>
      <c r="H17" s="102">
        <f>G17/G4</f>
        <v>0.35067917311104491</v>
      </c>
      <c r="J17" s="84"/>
      <c r="AM17" s="105"/>
    </row>
    <row r="18" spans="1:39" ht="20.25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33" t="s">
        <v>88</v>
      </c>
      <c r="L18" s="534"/>
      <c r="M18" s="534"/>
      <c r="N18" s="534"/>
      <c r="O18" s="534"/>
      <c r="P18" s="534"/>
      <c r="Q18" s="534"/>
      <c r="R18" s="534"/>
      <c r="S18" s="534"/>
      <c r="T18" s="534"/>
      <c r="U18" s="535"/>
      <c r="V18" s="29"/>
      <c r="X18" s="520" t="s">
        <v>89</v>
      </c>
      <c r="Y18" s="520"/>
      <c r="AA18" s="27" t="s">
        <v>40</v>
      </c>
      <c r="AB18" s="533" t="s">
        <v>90</v>
      </c>
      <c r="AC18" s="534"/>
      <c r="AD18" s="534"/>
      <c r="AE18" s="534"/>
      <c r="AF18" s="534"/>
      <c r="AG18" s="534"/>
      <c r="AH18" s="534"/>
      <c r="AI18" s="534"/>
      <c r="AJ18" s="534"/>
      <c r="AK18" s="534"/>
      <c r="AL18" s="535"/>
      <c r="AM18" s="117"/>
    </row>
    <row r="19" spans="1:39" ht="24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31" t="s">
        <v>46</v>
      </c>
      <c r="L19" s="170" t="s">
        <v>47</v>
      </c>
      <c r="M19" s="170" t="s">
        <v>48</v>
      </c>
      <c r="N19" s="32" t="s">
        <v>49</v>
      </c>
      <c r="O19" s="170"/>
      <c r="P19" s="32"/>
      <c r="Q19" s="31"/>
      <c r="R19" s="31"/>
      <c r="S19" s="31"/>
      <c r="T19" s="31"/>
      <c r="U19" s="31"/>
      <c r="V19" s="516" t="s">
        <v>51</v>
      </c>
      <c r="X19" s="69" t="s">
        <v>52</v>
      </c>
      <c r="Y19" s="50">
        <f>6591.94+7287</f>
        <v>13878.939999999999</v>
      </c>
      <c r="AA19" s="30" t="s">
        <v>45</v>
      </c>
      <c r="AB19" s="31" t="s">
        <v>46</v>
      </c>
      <c r="AC19" s="170" t="s">
        <v>47</v>
      </c>
      <c r="AD19" s="170" t="s">
        <v>48</v>
      </c>
      <c r="AE19" s="32" t="s">
        <v>49</v>
      </c>
      <c r="AF19" s="170"/>
      <c r="AG19" s="32"/>
      <c r="AH19" s="31"/>
      <c r="AI19" s="31"/>
      <c r="AJ19" s="31"/>
      <c r="AK19" s="31"/>
      <c r="AL19" s="31"/>
      <c r="AM19" s="518" t="s">
        <v>51</v>
      </c>
    </row>
    <row r="20" spans="1:39">
      <c r="A20" s="108" t="s">
        <v>93</v>
      </c>
      <c r="B20" s="3">
        <f>H6/G5*100</f>
        <v>27.375382413364758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>
        <v>7</v>
      </c>
      <c r="R20" s="70">
        <v>8</v>
      </c>
      <c r="S20" s="70">
        <v>9</v>
      </c>
      <c r="T20" s="70">
        <v>10</v>
      </c>
      <c r="U20" s="70"/>
      <c r="V20" s="517"/>
      <c r="X20" s="71" t="s">
        <v>55</v>
      </c>
      <c r="Y20" s="77">
        <f>G6+G7</f>
        <v>13671.169999999998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>
        <f>H9/G5*100</f>
        <v>56.380961348326906</v>
      </c>
      <c r="C21" s="109"/>
      <c r="D21" s="109"/>
      <c r="E21" s="109"/>
      <c r="F21" s="109"/>
      <c r="H21" s="105"/>
      <c r="J21" s="125"/>
      <c r="K21" s="73">
        <f>V21/6</f>
        <v>2313.1566666666663</v>
      </c>
      <c r="L21" s="73">
        <f>K21</f>
        <v>2313.1566666666663</v>
      </c>
      <c r="M21" s="73">
        <f>K21</f>
        <v>2313.1566666666663</v>
      </c>
      <c r="N21" s="73">
        <f>M21</f>
        <v>2313.1566666666663</v>
      </c>
      <c r="O21" s="73">
        <f>N21</f>
        <v>2313.1566666666663</v>
      </c>
      <c r="P21" s="73">
        <f>O21</f>
        <v>2313.1566666666663</v>
      </c>
      <c r="Q21" s="73"/>
      <c r="R21" s="73"/>
      <c r="S21" s="73"/>
      <c r="T21" s="73"/>
      <c r="U21" s="73"/>
      <c r="V21" s="74">
        <f>Y19</f>
        <v>13878.939999999999</v>
      </c>
      <c r="X21" s="520" t="s">
        <v>90</v>
      </c>
      <c r="Y21" s="520"/>
      <c r="AA21" s="72"/>
      <c r="AB21" s="73">
        <f>AM21/5</f>
        <v>1500</v>
      </c>
      <c r="AC21" s="73">
        <f>AB21</f>
        <v>1500</v>
      </c>
      <c r="AD21" s="73">
        <f>AB21</f>
        <v>1500</v>
      </c>
      <c r="AE21" s="73">
        <f>AD21</f>
        <v>1500</v>
      </c>
      <c r="AF21" s="73">
        <f>AE21</f>
        <v>1500</v>
      </c>
      <c r="AG21" s="73">
        <f>AF21</f>
        <v>1500</v>
      </c>
      <c r="AH21" s="73"/>
      <c r="AI21" s="73"/>
      <c r="AJ21" s="73"/>
      <c r="AK21" s="73"/>
      <c r="AL21" s="73"/>
      <c r="AM21" s="126">
        <f>Y22</f>
        <v>7500</v>
      </c>
    </row>
    <row r="22" spans="1:39">
      <c r="A22" s="111" t="s">
        <v>95</v>
      </c>
      <c r="B22" s="2">
        <f>H14/G5*100</f>
        <v>16.243656238308343</v>
      </c>
      <c r="C22" s="109"/>
      <c r="D22" s="109"/>
      <c r="E22" s="109"/>
      <c r="F22" s="109"/>
      <c r="H22" s="105"/>
      <c r="J22" s="12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63">
        <f t="shared" ref="V22" si="1">K22+L22+M22+N22+O22+P22+U22+Q22+R22+S22+T22</f>
        <v>0</v>
      </c>
      <c r="X22" s="69" t="s">
        <v>52</v>
      </c>
      <c r="Y22" s="50">
        <f>3500+4000</f>
        <v>7500</v>
      </c>
      <c r="AA22" s="72"/>
      <c r="AB22" s="75">
        <f>2400+387+135.5+402.01+21.5+16.6+28+16.6</f>
        <v>3407.21</v>
      </c>
      <c r="AC22" s="76">
        <v>33.5</v>
      </c>
      <c r="AD22" s="76">
        <v>1320</v>
      </c>
      <c r="AE22" s="76"/>
      <c r="AF22" s="76">
        <f>654+148.17</f>
        <v>802.17</v>
      </c>
      <c r="AG22" s="76"/>
      <c r="AH22" s="76"/>
      <c r="AI22" s="76"/>
      <c r="AJ22" s="76"/>
      <c r="AK22" s="76"/>
      <c r="AL22" s="76"/>
      <c r="AM22" s="233">
        <f t="shared" ref="AM22" si="2">AB22+AC22+AD22+AE22+AF22+AG22+AL22+AH22+AI22+AJ22+AK22</f>
        <v>5562.88</v>
      </c>
    </row>
    <row r="23" spans="1:39">
      <c r="A23" s="84"/>
      <c r="H23" s="105"/>
      <c r="J23" s="84"/>
      <c r="X23" s="71" t="s">
        <v>55</v>
      </c>
      <c r="Y23" s="77">
        <f>G14+G15</f>
        <v>6467.52</v>
      </c>
      <c r="AM23" s="105"/>
    </row>
    <row r="24" spans="1:39">
      <c r="A24" s="84"/>
      <c r="H24" s="105"/>
      <c r="J24" s="84"/>
      <c r="V24" s="128"/>
      <c r="AM24" s="105"/>
    </row>
    <row r="25" spans="1:39" ht="27.75" customHeight="1">
      <c r="A25" s="84"/>
      <c r="H25" s="105"/>
      <c r="J25" s="84"/>
      <c r="X25" s="10" t="s">
        <v>96</v>
      </c>
      <c r="Y25" s="145"/>
      <c r="AM25" s="105"/>
    </row>
    <row r="26" spans="1:39" ht="27.75">
      <c r="A26" s="84"/>
      <c r="H26" s="105"/>
      <c r="J26" s="84"/>
      <c r="X26" s="10" t="s">
        <v>97</v>
      </c>
      <c r="Y26" s="145"/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23">
        <v>45334</v>
      </c>
      <c r="Y31" s="524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25"/>
      <c r="Y32" s="526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7" spans="1:9">
      <c r="I37" s="1"/>
    </row>
    <row r="44" spans="1:9">
      <c r="A44" s="224"/>
    </row>
    <row r="45" spans="1:9">
      <c r="A45" s="224"/>
      <c r="B45" s="1"/>
      <c r="C45" s="1"/>
      <c r="D45" s="1"/>
      <c r="G45" s="1"/>
    </row>
    <row r="46" spans="1:9">
      <c r="A46" s="224"/>
      <c r="B46" s="1"/>
      <c r="C46" s="1"/>
    </row>
    <row r="47" spans="1:9">
      <c r="A47" s="223"/>
      <c r="D47" s="1"/>
    </row>
    <row r="48" spans="1:9">
      <c r="A48" s="223"/>
      <c r="D48" s="1"/>
    </row>
    <row r="49" spans="1:14">
      <c r="A49" s="223"/>
    </row>
    <row r="50" spans="1:14">
      <c r="D50" s="225"/>
    </row>
    <row r="51" spans="1:14">
      <c r="D51" s="1"/>
    </row>
    <row r="62" spans="1:14">
      <c r="N62" s="223"/>
    </row>
    <row r="63" spans="1:14">
      <c r="N63" s="223"/>
    </row>
    <row r="64" spans="1:14">
      <c r="N64" s="223"/>
    </row>
  </sheetData>
  <mergeCells count="19">
    <mergeCell ref="V19:V20"/>
    <mergeCell ref="AM19:AM20"/>
    <mergeCell ref="X21:Y21"/>
    <mergeCell ref="X30:Y30"/>
    <mergeCell ref="X31:Y32"/>
    <mergeCell ref="V4:V5"/>
    <mergeCell ref="AM4:AM5"/>
    <mergeCell ref="X6:Y6"/>
    <mergeCell ref="K18:U18"/>
    <mergeCell ref="X18:Y18"/>
    <mergeCell ref="AB18:AL18"/>
    <mergeCell ref="A2:H2"/>
    <mergeCell ref="J2:AM2"/>
    <mergeCell ref="C3:D3"/>
    <mergeCell ref="E3:F3"/>
    <mergeCell ref="G3:H3"/>
    <mergeCell ref="K3:U3"/>
    <mergeCell ref="X3:Y3"/>
    <mergeCell ref="AB3:AL3"/>
  </mergeCells>
  <conditionalFormatting sqref="Y20">
    <cfRule type="cellIs" dxfId="32" priority="3" operator="greaterThan">
      <formula>$Y$19</formula>
    </cfRule>
  </conditionalFormatting>
  <conditionalFormatting sqref="Y23">
    <cfRule type="cellIs" dxfId="31" priority="2" operator="greaterThan">
      <formula>$Y$22</formula>
    </cfRule>
  </conditionalFormatting>
  <conditionalFormatting sqref="Y8">
    <cfRule type="cellIs" dxfId="30" priority="1" operator="greaterThan">
      <formula>$Y$7</formula>
    </cfRule>
  </conditionalFormatting>
  <pageMargins left="0.7" right="0.7" top="0.75" bottom="0.75" header="0.3" footer="0.3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329DE-EA16-48E2-851B-5EEAE3281EE9}">
  <sheetPr>
    <pageSetUpPr fitToPage="1"/>
  </sheetPr>
  <dimension ref="A1:AN64"/>
  <sheetViews>
    <sheetView workbookViewId="0">
      <selection activeCell="E8" sqref="E8"/>
    </sheetView>
  </sheetViews>
  <sheetFormatPr defaultRowHeight="15" outlineLevelCol="1"/>
  <cols>
    <col min="1" max="1" width="36.42578125" bestFit="1" customWidth="1"/>
    <col min="2" max="2" width="30.140625" bestFit="1" customWidth="1"/>
    <col min="3" max="5" width="10.7109375" customWidth="1"/>
    <col min="6" max="6" width="10.140625" customWidth="1"/>
    <col min="7" max="8" width="10.7109375" customWidth="1"/>
    <col min="9" max="9" width="3.28515625" customWidth="1"/>
    <col min="10" max="10" width="0.5703125" hidden="1" customWidth="1" outlineLevel="1"/>
    <col min="11" max="15" width="10.7109375" hidden="1" customWidth="1" outlineLevel="1"/>
    <col min="16" max="16" width="10.28515625" hidden="1" customWidth="1" outlineLevel="1"/>
    <col min="17" max="20" width="9.140625" hidden="1" customWidth="1" outlineLevel="1"/>
    <col min="21" max="21" width="1.42578125" hidden="1" customWidth="1" outlineLevel="1"/>
    <col min="22" max="22" width="9.140625" hidden="1" customWidth="1" outlineLevel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customWidth="1"/>
    <col min="32" max="33" width="12.7109375" customWidth="1"/>
    <col min="34" max="37" width="12.7109375" hidden="1" customWidth="1" outlineLevel="1"/>
    <col min="38" max="38" width="3.140625" hidden="1" customWidth="1" outlineLevel="1"/>
    <col min="39" max="39" width="12.7109375" customWidth="1" collapsed="1"/>
    <col min="40" max="40" width="12.7109375" customWidth="1"/>
  </cols>
  <sheetData>
    <row r="1" spans="1:40" ht="25.5" customHeight="1">
      <c r="A1" s="237" t="s">
        <v>142</v>
      </c>
      <c r="B1" s="237" t="s">
        <v>143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</row>
    <row r="2" spans="1:40" ht="18.75">
      <c r="A2" s="537" t="s">
        <v>35</v>
      </c>
      <c r="B2" s="538"/>
      <c r="C2" s="538"/>
      <c r="D2" s="538"/>
      <c r="E2" s="538"/>
      <c r="F2" s="538"/>
      <c r="G2" s="538"/>
      <c r="H2" s="539"/>
      <c r="I2" s="7"/>
      <c r="J2" s="540" t="s">
        <v>36</v>
      </c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2"/>
      <c r="AN2" s="1"/>
    </row>
    <row r="3" spans="1:40" ht="15.75" customHeight="1">
      <c r="A3" s="84"/>
      <c r="C3" s="543" t="s">
        <v>144</v>
      </c>
      <c r="D3" s="544"/>
      <c r="E3" s="543" t="s">
        <v>37</v>
      </c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40" ht="16.5" customHeight="1">
      <c r="A4" s="85" t="s">
        <v>43</v>
      </c>
      <c r="B4" s="5" t="s">
        <v>44</v>
      </c>
      <c r="C4" s="83">
        <f>G4/5*1</f>
        <v>24087.19</v>
      </c>
      <c r="E4" s="83">
        <f>C4*4</f>
        <v>96348.76</v>
      </c>
      <c r="G4" s="153">
        <f>Y10+Y11</f>
        <v>120435.95</v>
      </c>
      <c r="H4" s="86">
        <f>D4+F4</f>
        <v>0</v>
      </c>
      <c r="J4" s="178" t="s">
        <v>45</v>
      </c>
      <c r="K4" s="32" t="s">
        <v>145</v>
      </c>
      <c r="L4" s="32" t="s">
        <v>146</v>
      </c>
      <c r="M4" s="31" t="s">
        <v>147</v>
      </c>
      <c r="N4" s="170" t="s">
        <v>106</v>
      </c>
      <c r="O4" s="170" t="s">
        <v>148</v>
      </c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V6</f>
        <v>1</v>
      </c>
      <c r="Z4" s="116"/>
      <c r="AA4" s="30" t="s">
        <v>45</v>
      </c>
      <c r="AB4" s="32" t="s">
        <v>145</v>
      </c>
      <c r="AC4" s="32" t="s">
        <v>146</v>
      </c>
      <c r="AD4" s="31" t="s">
        <v>147</v>
      </c>
      <c r="AE4" s="170" t="s">
        <v>106</v>
      </c>
      <c r="AF4" s="170" t="s">
        <v>148</v>
      </c>
      <c r="AG4" s="32"/>
      <c r="AH4" s="32"/>
      <c r="AI4" s="32"/>
      <c r="AJ4" s="32"/>
      <c r="AK4" s="32"/>
      <c r="AL4" s="32"/>
      <c r="AM4" s="529" t="s">
        <v>51</v>
      </c>
    </row>
    <row r="5" spans="1:40">
      <c r="A5" s="85" t="s">
        <v>53</v>
      </c>
      <c r="B5" s="5" t="s">
        <v>54</v>
      </c>
      <c r="C5" s="192">
        <f>C6+C7+C8+C9+C10+C11+C13+C14+C16+C15+C12</f>
        <v>19364.991072018394</v>
      </c>
      <c r="D5" s="5"/>
      <c r="E5" s="192">
        <f>E6+E7+E8+E9+E10+E11+E13+E14+E16+E15+E12</f>
        <v>88208.5578146888</v>
      </c>
      <c r="F5" s="5"/>
      <c r="G5" s="498">
        <f>G6+G7+G8+G9+G10+G11+G13+G14+G16+G15+G12</f>
        <v>107573.5488867072</v>
      </c>
      <c r="H5" s="87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V7+V8</f>
        <v>1.2793421257955127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40">
      <c r="A6" s="88" t="s">
        <v>56</v>
      </c>
      <c r="B6" s="81" t="s">
        <v>57</v>
      </c>
      <c r="C6" s="134">
        <f>11660.05-297.52-933.1-220.04-604.59</f>
        <v>9604.7999999999975</v>
      </c>
      <c r="D6" s="156">
        <f>C6+C7+C8</f>
        <v>10144.799999999997</v>
      </c>
      <c r="E6" s="13">
        <f>893.62+188.31+341.91+1427.1+56.88+78.44+72.76+173.35+65.9+59.4+18.99+19.45+28.77+17.99+48.29+116.71</f>
        <v>3607.87</v>
      </c>
      <c r="F6" s="13">
        <f>E6+E7+E8</f>
        <v>54604.160000000003</v>
      </c>
      <c r="G6" s="9">
        <f>C6+E6</f>
        <v>13212.669999999998</v>
      </c>
      <c r="H6" s="90">
        <f>G6+G7+G8</f>
        <v>64748.959999999999</v>
      </c>
      <c r="J6" s="180"/>
      <c r="K6" s="40">
        <v>0.2</v>
      </c>
      <c r="L6" s="40">
        <v>0.4</v>
      </c>
      <c r="M6" s="40">
        <v>0.6</v>
      </c>
      <c r="N6" s="40">
        <v>0.8</v>
      </c>
      <c r="O6" s="40">
        <v>1</v>
      </c>
      <c r="P6" s="40"/>
      <c r="Q6" s="40"/>
      <c r="R6" s="40"/>
      <c r="S6" s="40"/>
      <c r="T6" s="40"/>
      <c r="U6" s="41"/>
      <c r="V6" s="40">
        <f>O6</f>
        <v>1</v>
      </c>
      <c r="X6" s="531" t="s">
        <v>58</v>
      </c>
      <c r="Y6" s="532"/>
      <c r="AA6" s="42"/>
      <c r="AB6" s="43">
        <f>AM6/5</f>
        <v>243.4</v>
      </c>
      <c r="AC6" s="43">
        <f>AB6</f>
        <v>243.4</v>
      </c>
      <c r="AD6" s="43">
        <f>AB6</f>
        <v>243.4</v>
      </c>
      <c r="AE6" s="43">
        <f>AB6</f>
        <v>243.4</v>
      </c>
      <c r="AF6" s="43">
        <f>AB6</f>
        <v>243.4</v>
      </c>
      <c r="AG6" s="43"/>
      <c r="AH6" s="44"/>
      <c r="AI6" s="44"/>
      <c r="AJ6" s="44"/>
      <c r="AK6" s="44"/>
      <c r="AL6" s="44"/>
      <c r="AM6" s="121">
        <f>457+760</f>
        <v>1217</v>
      </c>
    </row>
    <row r="7" spans="1:40">
      <c r="A7" s="91" t="s">
        <v>59</v>
      </c>
      <c r="B7" s="92" t="s">
        <v>60</v>
      </c>
      <c r="C7" s="134">
        <v>540</v>
      </c>
      <c r="D7" s="13"/>
      <c r="E7" s="156">
        <f>300+770+1750+390</f>
        <v>3210</v>
      </c>
      <c r="F7" s="13"/>
      <c r="G7" s="9">
        <f t="shared" ref="G7:G16" si="0">C7+E7</f>
        <v>3750</v>
      </c>
      <c r="H7" s="90"/>
      <c r="J7" s="181"/>
      <c r="K7" s="48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v>1</v>
      </c>
      <c r="X7" s="49" t="s">
        <v>52</v>
      </c>
      <c r="Y7" s="50">
        <f>AM6/Y13</f>
        <v>11.488718965354479</v>
      </c>
      <c r="AA7" s="51"/>
      <c r="AB7" s="52">
        <f>44.3+45.3+13.7+45+44.5+33.2</f>
        <v>226</v>
      </c>
      <c r="AC7" s="53">
        <f>19.5+19.5+19.5+27.43+27.38+27.6+26.97</f>
        <v>167.88</v>
      </c>
      <c r="AD7" s="53">
        <f>67.03+67.18+66.78+67.13</f>
        <v>268.12</v>
      </c>
      <c r="AE7" s="53">
        <f>79.4+80.08+79.3+57.08+79.08</f>
        <v>374.94</v>
      </c>
      <c r="AF7" s="53">
        <f>81.92+73.7+73.47+51.22+71.57+67.72+7.85+8.67</f>
        <v>436.12000000000006</v>
      </c>
      <c r="AG7" s="53">
        <f>13.76+32</f>
        <v>45.76</v>
      </c>
      <c r="AH7" s="54"/>
      <c r="AI7" s="54"/>
      <c r="AJ7" s="54"/>
      <c r="AK7" s="54"/>
      <c r="AL7" s="54"/>
      <c r="AM7" s="164">
        <f t="shared" ref="AM7" si="1">AB7+AC7+AD7+AE7+AF7+AG7+AL7+AH7+AI7+AJ7+AK7</f>
        <v>1518.8200000000002</v>
      </c>
    </row>
    <row r="8" spans="1:40">
      <c r="A8" s="93" t="s">
        <v>61</v>
      </c>
      <c r="B8" s="82" t="s">
        <v>62</v>
      </c>
      <c r="C8" s="155"/>
      <c r="D8" s="14"/>
      <c r="E8" s="157">
        <f>1779.65*2+73+4725.5+8340.5+10920.25+2799.31+15368.43+950+1050</f>
        <v>47786.29</v>
      </c>
      <c r="F8" s="14"/>
      <c r="G8" s="9">
        <f t="shared" si="0"/>
        <v>47786.29</v>
      </c>
      <c r="H8" s="95"/>
      <c r="J8" s="182"/>
      <c r="K8" s="55"/>
      <c r="L8" s="55"/>
      <c r="M8" s="55"/>
      <c r="N8" s="56"/>
      <c r="O8" s="56">
        <f>Y11/Y10</f>
        <v>0.27934212579551271</v>
      </c>
      <c r="P8" s="56"/>
      <c r="Q8" s="58"/>
      <c r="R8" s="58"/>
      <c r="S8" s="58"/>
      <c r="T8" s="58"/>
      <c r="U8" s="58"/>
      <c r="V8" s="56">
        <f>SUM(K8:U8)</f>
        <v>0.27934212579551271</v>
      </c>
      <c r="X8" s="59" t="s">
        <v>55</v>
      </c>
      <c r="Y8" s="77">
        <f>AM7/Y13</f>
        <v>14.337959029547815</v>
      </c>
      <c r="AM8" s="105"/>
    </row>
    <row r="9" spans="1:40">
      <c r="A9" s="88" t="s">
        <v>63</v>
      </c>
      <c r="B9" s="81" t="s">
        <v>64</v>
      </c>
      <c r="C9" s="138">
        <f>((33.2*11.5+44.5*11+64.5*12+64.8*14+13.7*11+64*11.5+210.21)-C13)*1.42</f>
        <v>2626.1621999999998</v>
      </c>
      <c r="D9" s="151">
        <f>C9+C10+C11+C13+C12</f>
        <v>6991.4310720183994</v>
      </c>
      <c r="E9" s="354">
        <f>((15631.17+320-130.3+365+224)-E13)*1.42</f>
        <v>14043.615400000002</v>
      </c>
      <c r="F9" s="137">
        <f>E9+E10+E11+E13+E12</f>
        <v>32009.437814688801</v>
      </c>
      <c r="G9" s="24">
        <f t="shared" si="0"/>
        <v>16669.777600000001</v>
      </c>
      <c r="H9" s="96">
        <f>G9+G10+G11+G13+G12</f>
        <v>39000.868886707198</v>
      </c>
      <c r="J9" s="84"/>
      <c r="AM9" s="105"/>
    </row>
    <row r="10" spans="1:40">
      <c r="A10" s="91" t="s">
        <v>65</v>
      </c>
      <c r="B10" s="92" t="s">
        <v>66</v>
      </c>
      <c r="C10" s="134">
        <f>C9*0.2359</f>
        <v>619.51166297999998</v>
      </c>
      <c r="D10" s="13"/>
      <c r="E10" s="355">
        <f>E9*0.2359</f>
        <v>3312.8888728600004</v>
      </c>
      <c r="F10" s="89"/>
      <c r="G10" s="25">
        <f t="shared" si="0"/>
        <v>3932.4005358400004</v>
      </c>
      <c r="H10" s="95"/>
      <c r="J10" s="84"/>
      <c r="X10" s="10" t="s">
        <v>67</v>
      </c>
      <c r="Y10" s="232">
        <f>B38</f>
        <v>94138.97</v>
      </c>
      <c r="AM10" s="105"/>
    </row>
    <row r="11" spans="1:40">
      <c r="A11" s="91" t="s">
        <v>68</v>
      </c>
      <c r="B11" s="92" t="s">
        <v>69</v>
      </c>
      <c r="C11" s="134">
        <f>(C9+C10)*0.08</f>
        <v>259.6539090384</v>
      </c>
      <c r="D11" s="13"/>
      <c r="E11" s="355">
        <f>(E9+E10)*0.08</f>
        <v>1388.5203418288002</v>
      </c>
      <c r="F11" s="89"/>
      <c r="G11" s="25">
        <f t="shared" si="0"/>
        <v>1648.1742508672</v>
      </c>
      <c r="H11" s="95"/>
      <c r="J11" s="84"/>
      <c r="X11" s="62" t="s">
        <v>70</v>
      </c>
      <c r="Y11" s="201">
        <f>12418.23+1368.4+660+348.15+11502.2</f>
        <v>26296.98</v>
      </c>
      <c r="AM11" s="105"/>
    </row>
    <row r="12" spans="1:40">
      <c r="A12" s="97" t="s">
        <v>71</v>
      </c>
      <c r="B12" s="98" t="s">
        <v>72</v>
      </c>
      <c r="C12" s="135">
        <f>(C4)*0.07</f>
        <v>1686.1033</v>
      </c>
      <c r="D12" s="142"/>
      <c r="E12" s="355">
        <f>(E4)*0.07</f>
        <v>6744.4132</v>
      </c>
      <c r="F12" s="131"/>
      <c r="G12" s="25">
        <f t="shared" si="0"/>
        <v>8430.5164999999997</v>
      </c>
      <c r="H12" s="95"/>
      <c r="J12" s="84"/>
      <c r="AM12" s="105"/>
    </row>
    <row r="13" spans="1:40">
      <c r="A13" s="91" t="s">
        <v>73</v>
      </c>
      <c r="B13" s="92" t="s">
        <v>74</v>
      </c>
      <c r="C13" s="139">
        <f>45*40</f>
        <v>1800</v>
      </c>
      <c r="D13" s="143"/>
      <c r="E13" s="356">
        <f>159*40+2*40*2</f>
        <v>6520</v>
      </c>
      <c r="F13" s="133"/>
      <c r="G13" s="26">
        <f t="shared" si="0"/>
        <v>8320</v>
      </c>
      <c r="H13" s="99"/>
      <c r="J13" s="84"/>
      <c r="X13" s="64" t="s">
        <v>75</v>
      </c>
      <c r="Y13" s="65">
        <f>47.03+58.9</f>
        <v>105.93</v>
      </c>
      <c r="AM13" s="105"/>
    </row>
    <row r="14" spans="1:40">
      <c r="A14" s="100" t="s">
        <v>76</v>
      </c>
      <c r="B14" s="81" t="s">
        <v>77</v>
      </c>
      <c r="C14" s="134">
        <f>1015.56+643.19</f>
        <v>1658.75</v>
      </c>
      <c r="D14" s="156">
        <f>C14+C16+C15</f>
        <v>2228.7600000000002</v>
      </c>
      <c r="E14" s="358">
        <f>236+122.55+23+64.22+331.2+48+104.4</f>
        <v>929.37</v>
      </c>
      <c r="F14" s="13">
        <f>E14+E16+E15</f>
        <v>1594.96</v>
      </c>
      <c r="G14" s="9">
        <f t="shared" si="0"/>
        <v>2588.12</v>
      </c>
      <c r="H14" s="95">
        <f>G14+G16+G15</f>
        <v>3823.72</v>
      </c>
      <c r="J14" s="84"/>
      <c r="X14" s="66" t="s">
        <v>78</v>
      </c>
      <c r="Y14" s="66" t="s">
        <v>79</v>
      </c>
      <c r="AM14" s="105"/>
    </row>
    <row r="15" spans="1:40">
      <c r="A15" s="101" t="s">
        <v>80</v>
      </c>
      <c r="B15" s="92" t="s">
        <v>81</v>
      </c>
      <c r="C15" s="134">
        <f>28*4+23+56</f>
        <v>191</v>
      </c>
      <c r="D15" s="13"/>
      <c r="E15" s="355">
        <f>16+16+28+16+31.08</f>
        <v>107.08</v>
      </c>
      <c r="F15" s="13"/>
      <c r="G15" s="9">
        <f t="shared" si="0"/>
        <v>298.08</v>
      </c>
      <c r="H15" s="95"/>
      <c r="J15" s="84"/>
      <c r="X15" s="67" t="s">
        <v>82</v>
      </c>
      <c r="Y15" s="68">
        <v>13</v>
      </c>
      <c r="AM15" s="105"/>
    </row>
    <row r="16" spans="1:40">
      <c r="A16" s="91" t="s">
        <v>83</v>
      </c>
      <c r="B16" s="92" t="s">
        <v>84</v>
      </c>
      <c r="C16" s="134">
        <f>125+132.01+50+72</f>
        <v>379.01</v>
      </c>
      <c r="D16" s="13"/>
      <c r="E16" s="13">
        <f>186.66+16*8+81.98+7+16.07+40+14.9+4+7.9+4+48+20</f>
        <v>558.51</v>
      </c>
      <c r="F16" s="13"/>
      <c r="G16" s="9">
        <f t="shared" si="0"/>
        <v>937.52</v>
      </c>
      <c r="H16" s="95"/>
      <c r="J16" s="84"/>
      <c r="X16" s="67" t="s">
        <v>85</v>
      </c>
      <c r="Y16" s="68">
        <v>12</v>
      </c>
      <c r="AM16" s="105"/>
    </row>
    <row r="17" spans="1:39">
      <c r="A17" s="85" t="s">
        <v>86</v>
      </c>
      <c r="B17" s="5" t="s">
        <v>87</v>
      </c>
      <c r="C17" s="185">
        <f>C4-C5</f>
        <v>4722.1989279816044</v>
      </c>
      <c r="D17" s="129">
        <f>C17/C4</f>
        <v>0.19604606963209925</v>
      </c>
      <c r="E17" s="185">
        <f>E4-E5</f>
        <v>8140.2021853111946</v>
      </c>
      <c r="F17" s="130">
        <f>E17/E4</f>
        <v>8.4486839117713555E-2</v>
      </c>
      <c r="G17" s="16">
        <f>G4-G5</f>
        <v>12862.401113292799</v>
      </c>
      <c r="H17" s="102">
        <f>G17/G4</f>
        <v>0.10679868522059069</v>
      </c>
      <c r="J17" s="84"/>
      <c r="AM17" s="105"/>
    </row>
    <row r="18" spans="1:39" ht="20.25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33" t="s">
        <v>88</v>
      </c>
      <c r="L18" s="534"/>
      <c r="M18" s="534"/>
      <c r="N18" s="534"/>
      <c r="O18" s="534"/>
      <c r="P18" s="534"/>
      <c r="Q18" s="534"/>
      <c r="R18" s="534"/>
      <c r="S18" s="534"/>
      <c r="T18" s="534"/>
      <c r="U18" s="535"/>
      <c r="V18" s="29"/>
      <c r="X18" s="520" t="s">
        <v>89</v>
      </c>
      <c r="Y18" s="520"/>
      <c r="AA18" s="27" t="s">
        <v>40</v>
      </c>
      <c r="AB18" s="533" t="s">
        <v>90</v>
      </c>
      <c r="AC18" s="534"/>
      <c r="AD18" s="534"/>
      <c r="AE18" s="534"/>
      <c r="AF18" s="534"/>
      <c r="AG18" s="534"/>
      <c r="AH18" s="534"/>
      <c r="AI18" s="534"/>
      <c r="AJ18" s="534"/>
      <c r="AK18" s="534"/>
      <c r="AL18" s="535"/>
      <c r="AM18" s="117"/>
    </row>
    <row r="19" spans="1:39" ht="24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32" t="s">
        <v>145</v>
      </c>
      <c r="L19" s="32" t="s">
        <v>146</v>
      </c>
      <c r="M19" s="31" t="s">
        <v>147</v>
      </c>
      <c r="N19" s="170" t="s">
        <v>106</v>
      </c>
      <c r="O19" s="170" t="s">
        <v>148</v>
      </c>
      <c r="P19" s="32"/>
      <c r="Q19" s="31"/>
      <c r="R19" s="31"/>
      <c r="S19" s="31"/>
      <c r="T19" s="31"/>
      <c r="U19" s="31"/>
      <c r="V19" s="516" t="s">
        <v>51</v>
      </c>
      <c r="X19" s="69" t="s">
        <v>52</v>
      </c>
      <c r="Y19" s="50">
        <f>4293+8095</f>
        <v>12388</v>
      </c>
      <c r="AA19" s="30" t="s">
        <v>45</v>
      </c>
      <c r="AB19" s="32" t="s">
        <v>145</v>
      </c>
      <c r="AC19" s="32" t="s">
        <v>146</v>
      </c>
      <c r="AD19" s="31" t="s">
        <v>147</v>
      </c>
      <c r="AE19" s="170" t="s">
        <v>106</v>
      </c>
      <c r="AF19" s="170" t="s">
        <v>148</v>
      </c>
      <c r="AG19" s="32"/>
      <c r="AH19" s="31"/>
      <c r="AI19" s="31"/>
      <c r="AJ19" s="31"/>
      <c r="AK19" s="31"/>
      <c r="AL19" s="31"/>
      <c r="AM19" s="518" t="s">
        <v>51</v>
      </c>
    </row>
    <row r="20" spans="1:39">
      <c r="A20" s="108" t="s">
        <v>93</v>
      </c>
      <c r="B20" s="3">
        <f>H6/G5*100</f>
        <v>60.190409882443689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/>
      <c r="R20" s="70"/>
      <c r="S20" s="70"/>
      <c r="T20" s="70"/>
      <c r="U20" s="70"/>
      <c r="V20" s="517"/>
      <c r="X20" s="71" t="s">
        <v>55</v>
      </c>
      <c r="Y20" s="77">
        <f>G6+G7</f>
        <v>16962.669999999998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>
        <f>H9/G5*100</f>
        <v>36.255073194416582</v>
      </c>
      <c r="C21" s="109"/>
      <c r="D21" s="109"/>
      <c r="E21" s="109"/>
      <c r="F21" s="109"/>
      <c r="H21" s="105"/>
      <c r="J21" s="125"/>
      <c r="K21" s="73">
        <f>V21/6</f>
        <v>2064.6666666666665</v>
      </c>
      <c r="L21" s="73">
        <f>K21</f>
        <v>2064.6666666666665</v>
      </c>
      <c r="M21" s="73">
        <f>K21</f>
        <v>2064.6666666666665</v>
      </c>
      <c r="N21" s="73">
        <f>V21/6</f>
        <v>2064.6666666666665</v>
      </c>
      <c r="O21" s="73">
        <f>N21</f>
        <v>2064.6666666666665</v>
      </c>
      <c r="P21" s="73">
        <f>O21</f>
        <v>2064.6666666666665</v>
      </c>
      <c r="Q21" s="73"/>
      <c r="R21" s="73"/>
      <c r="S21" s="73"/>
      <c r="T21" s="73"/>
      <c r="U21" s="73"/>
      <c r="V21" s="74">
        <f>Y19</f>
        <v>12388</v>
      </c>
      <c r="X21" s="520" t="s">
        <v>90</v>
      </c>
      <c r="Y21" s="520"/>
      <c r="AA21" s="72"/>
      <c r="AB21" s="73">
        <f>AM21/5</f>
        <v>1180</v>
      </c>
      <c r="AC21" s="73">
        <f>AB21</f>
        <v>1180</v>
      </c>
      <c r="AD21" s="73">
        <f>AB21</f>
        <v>1180</v>
      </c>
      <c r="AE21" s="73">
        <f>AB21</f>
        <v>1180</v>
      </c>
      <c r="AF21" s="73">
        <f>AE21</f>
        <v>1180</v>
      </c>
      <c r="AG21" s="73">
        <f>AF21</f>
        <v>1180</v>
      </c>
      <c r="AH21" s="73"/>
      <c r="AI21" s="73"/>
      <c r="AJ21" s="73"/>
      <c r="AK21" s="73"/>
      <c r="AL21" s="73"/>
      <c r="AM21" s="126">
        <f>Y22</f>
        <v>5900</v>
      </c>
    </row>
    <row r="22" spans="1:39">
      <c r="A22" s="111" t="s">
        <v>95</v>
      </c>
      <c r="B22" s="2">
        <f>H14/G5*100</f>
        <v>3.5545169231397318</v>
      </c>
      <c r="C22" s="109"/>
      <c r="D22" s="109"/>
      <c r="E22" s="109"/>
      <c r="F22" s="109"/>
      <c r="H22" s="105"/>
      <c r="J22" s="12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63">
        <f t="shared" ref="V22" si="2">K22+L22+M22+N22+O22+P22+U22+Q22+R22+S22+T22</f>
        <v>0</v>
      </c>
      <c r="X22" s="69" t="s">
        <v>52</v>
      </c>
      <c r="Y22" s="50">
        <f>2950*2</f>
        <v>5900</v>
      </c>
      <c r="AA22" s="72"/>
      <c r="AB22" s="75">
        <f>1015.56+643.19+28*4+23+56</f>
        <v>1849.75</v>
      </c>
      <c r="AC22" s="76">
        <v>16</v>
      </c>
      <c r="AD22" s="76">
        <f>122.5+23</f>
        <v>145.5</v>
      </c>
      <c r="AE22" s="76">
        <v>236</v>
      </c>
      <c r="AF22" s="76">
        <f>16+31.08+156.27</f>
        <v>203.35000000000002</v>
      </c>
      <c r="AG22" s="76">
        <f>331.2+104.4</f>
        <v>435.6</v>
      </c>
      <c r="AH22" s="76"/>
      <c r="AI22" s="76"/>
      <c r="AJ22" s="76"/>
      <c r="AK22" s="76"/>
      <c r="AL22" s="76"/>
      <c r="AM22" s="165">
        <f t="shared" ref="AM22" si="3">AB22+AC22+AD22+AE22+AF22+AG22+AL22+AH22+AI22+AJ22+AK22</f>
        <v>2886.2</v>
      </c>
    </row>
    <row r="23" spans="1:39">
      <c r="A23" s="84"/>
      <c r="H23" s="105"/>
      <c r="J23" s="84"/>
      <c r="X23" s="71" t="s">
        <v>55</v>
      </c>
      <c r="Y23" s="77">
        <f>AM22</f>
        <v>2886.2</v>
      </c>
      <c r="AM23" s="105"/>
    </row>
    <row r="24" spans="1:39">
      <c r="A24" s="84"/>
      <c r="H24" s="105"/>
      <c r="J24" s="84"/>
      <c r="V24" s="128"/>
      <c r="AM24" s="105"/>
    </row>
    <row r="25" spans="1:39" ht="31.5" customHeight="1">
      <c r="A25" s="84"/>
      <c r="H25" s="105"/>
      <c r="J25" s="84"/>
      <c r="X25" s="10" t="s">
        <v>96</v>
      </c>
      <c r="Y25" s="145"/>
      <c r="AM25" s="105"/>
    </row>
    <row r="26" spans="1:39" ht="27.75">
      <c r="A26" s="84"/>
      <c r="H26" s="105"/>
      <c r="J26" s="84"/>
      <c r="X26" s="10" t="s">
        <v>97</v>
      </c>
      <c r="Y26" s="145"/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23">
        <v>45300</v>
      </c>
      <c r="Y31" s="524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25"/>
      <c r="Y32" s="526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5" spans="1:9">
      <c r="C35" s="223">
        <v>0.3</v>
      </c>
      <c r="D35" s="223">
        <v>0.4</v>
      </c>
      <c r="E35" s="223">
        <v>0.3</v>
      </c>
    </row>
    <row r="36" spans="1:9">
      <c r="A36" s="224" t="s">
        <v>149</v>
      </c>
      <c r="B36">
        <v>39746.19</v>
      </c>
      <c r="C36">
        <f>ROUND(B36*C35,2)</f>
        <v>11923.86</v>
      </c>
      <c r="D36">
        <f>ROUND(B36*D35,2)</f>
        <v>15898.48</v>
      </c>
      <c r="E36">
        <f>C36-0.01</f>
        <v>11923.85</v>
      </c>
      <c r="F36" s="1">
        <f>C36+D36+E36</f>
        <v>39746.19</v>
      </c>
    </row>
    <row r="37" spans="1:9">
      <c r="A37" s="224" t="s">
        <v>150</v>
      </c>
      <c r="B37">
        <v>54392.78</v>
      </c>
      <c r="C37">
        <f>ROUND(B37*C35,2)</f>
        <v>16317.83</v>
      </c>
      <c r="D37">
        <f>ROUND(B37*D35,2)</f>
        <v>21757.11</v>
      </c>
      <c r="E37">
        <f>C37+0.01</f>
        <v>16317.84</v>
      </c>
      <c r="F37">
        <f>C37+D37+E37</f>
        <v>54392.78</v>
      </c>
      <c r="I37" s="1"/>
    </row>
    <row r="38" spans="1:9">
      <c r="A38" s="224" t="s">
        <v>151</v>
      </c>
      <c r="B38">
        <f>SUM(B36:B37)</f>
        <v>94138.97</v>
      </c>
      <c r="C38">
        <f t="shared" ref="C38:F38" si="4">SUM(C36:C37)</f>
        <v>28241.690000000002</v>
      </c>
      <c r="D38">
        <f t="shared" si="4"/>
        <v>37655.589999999997</v>
      </c>
      <c r="E38">
        <f t="shared" si="4"/>
        <v>28241.690000000002</v>
      </c>
      <c r="F38">
        <f t="shared" si="4"/>
        <v>94138.97</v>
      </c>
    </row>
    <row r="41" spans="1:9">
      <c r="A41" s="224" t="s">
        <v>152</v>
      </c>
      <c r="B41" s="492">
        <f>Y11</f>
        <v>26296.98</v>
      </c>
    </row>
    <row r="42" spans="1:9">
      <c r="A42" s="224" t="s">
        <v>153</v>
      </c>
      <c r="B42" s="492">
        <f>1244+600+3559.3+6780+950+10920.25</f>
        <v>24053.55</v>
      </c>
    </row>
    <row r="44" spans="1:9">
      <c r="A44" s="224"/>
    </row>
    <row r="45" spans="1:9">
      <c r="A45" s="224"/>
      <c r="B45" s="1"/>
      <c r="C45" s="1"/>
      <c r="D45" s="1"/>
      <c r="G45" s="1"/>
    </row>
    <row r="46" spans="1:9">
      <c r="A46" s="224"/>
      <c r="B46" s="1"/>
      <c r="C46" s="1"/>
    </row>
    <row r="47" spans="1:9">
      <c r="A47" s="223"/>
    </row>
    <row r="48" spans="1:9">
      <c r="A48" s="223"/>
    </row>
    <row r="49" spans="1:14">
      <c r="A49" s="223"/>
    </row>
    <row r="50" spans="1:14">
      <c r="D50" s="225"/>
    </row>
    <row r="62" spans="1:14">
      <c r="N62" s="223"/>
    </row>
    <row r="63" spans="1:14">
      <c r="N63" s="223"/>
    </row>
    <row r="64" spans="1:14">
      <c r="N64" s="223"/>
    </row>
  </sheetData>
  <mergeCells count="19">
    <mergeCell ref="A2:H2"/>
    <mergeCell ref="J2:AM2"/>
    <mergeCell ref="C3:D3"/>
    <mergeCell ref="E3:F3"/>
    <mergeCell ref="G3:H3"/>
    <mergeCell ref="K3:U3"/>
    <mergeCell ref="X3:Y3"/>
    <mergeCell ref="AB3:AL3"/>
    <mergeCell ref="V4:V5"/>
    <mergeCell ref="AM4:AM5"/>
    <mergeCell ref="X6:Y6"/>
    <mergeCell ref="K18:U18"/>
    <mergeCell ref="X18:Y18"/>
    <mergeCell ref="AB18:AL18"/>
    <mergeCell ref="V19:V20"/>
    <mergeCell ref="AM19:AM20"/>
    <mergeCell ref="X21:Y21"/>
    <mergeCell ref="X30:Y30"/>
    <mergeCell ref="X31:Y32"/>
  </mergeCells>
  <conditionalFormatting sqref="Y8">
    <cfRule type="cellIs" dxfId="29" priority="3" operator="greaterThan">
      <formula>$Y$7</formula>
    </cfRule>
  </conditionalFormatting>
  <conditionalFormatting sqref="Y20">
    <cfRule type="cellIs" dxfId="28" priority="2" operator="greaterThan">
      <formula>$Y$19</formula>
    </cfRule>
  </conditionalFormatting>
  <conditionalFormatting sqref="Y23">
    <cfRule type="cellIs" dxfId="27" priority="1" operator="greaterThan">
      <formula>$Y$22</formula>
    </cfRule>
  </conditionalFormatting>
  <pageMargins left="0.7" right="0.7" top="0.75" bottom="0.75" header="0.3" footer="0.3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DFECF-DF38-40B2-B9F3-6CCDBFAADB51}">
  <sheetPr>
    <pageSetUpPr fitToPage="1"/>
  </sheetPr>
  <dimension ref="A1:AQ66"/>
  <sheetViews>
    <sheetView workbookViewId="0">
      <selection activeCell="B1" sqref="B1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1.42578125" customWidth="1"/>
    <col min="6" max="6" width="10.140625" customWidth="1"/>
    <col min="7" max="7" width="11.42578125" customWidth="1"/>
    <col min="8" max="8" width="10.140625" customWidth="1"/>
    <col min="9" max="10" width="10.7109375" customWidth="1"/>
    <col min="11" max="11" width="3.28515625" customWidth="1"/>
    <col min="12" max="12" width="0.5703125" hidden="1" customWidth="1" outlineLevel="1"/>
    <col min="13" max="13" width="10.7109375" hidden="1" customWidth="1" outlineLevel="1" collapsed="1"/>
    <col min="14" max="17" width="10.7109375" hidden="1" customWidth="1" outlineLevel="1"/>
    <col min="18" max="22" width="9.140625" hidden="1" customWidth="1" outlineLevel="1"/>
    <col min="23" max="23" width="2.5703125" hidden="1" customWidth="1" outlineLevel="1"/>
    <col min="24" max="24" width="9.140625" hidden="1" customWidth="1" outlineLevel="1" collapsed="1"/>
    <col min="25" max="25" width="3" customWidth="1" collapsed="1"/>
    <col min="26" max="26" width="34.140625" customWidth="1"/>
    <col min="27" max="27" width="18.140625" customWidth="1"/>
    <col min="28" max="28" width="2.85546875" customWidth="1"/>
    <col min="29" max="29" width="20.7109375" hidden="1" customWidth="1" outlineLevel="1"/>
    <col min="30" max="30" width="10.42578125" customWidth="1" collapsed="1"/>
    <col min="31" max="31" width="10.28515625" customWidth="1"/>
    <col min="32" max="32" width="10.42578125" customWidth="1"/>
    <col min="33" max="33" width="10.140625" customWidth="1"/>
    <col min="34" max="34" width="9.85546875" customWidth="1"/>
    <col min="35" max="35" width="9.7109375" customWidth="1"/>
    <col min="36" max="36" width="10.42578125" customWidth="1"/>
    <col min="37" max="37" width="11" customWidth="1"/>
    <col min="38" max="38" width="12.7109375" customWidth="1"/>
    <col min="39" max="40" width="12.7109375" hidden="1" customWidth="1" outlineLevel="1"/>
    <col min="41" max="41" width="12.7109375" customWidth="1" collapsed="1"/>
    <col min="42" max="42" width="12.7109375" customWidth="1"/>
  </cols>
  <sheetData>
    <row r="1" spans="1:41" ht="26.25" customHeight="1">
      <c r="A1" s="237" t="s">
        <v>154</v>
      </c>
      <c r="B1" s="570" t="s">
        <v>155</v>
      </c>
      <c r="C1" s="570"/>
      <c r="D1" s="570"/>
      <c r="E1" s="570"/>
      <c r="F1" s="570"/>
      <c r="G1" s="570"/>
      <c r="H1" s="570"/>
      <c r="I1" s="570"/>
      <c r="J1" s="570"/>
      <c r="K1" s="570"/>
      <c r="L1" s="570"/>
      <c r="M1" s="570"/>
      <c r="N1" s="570"/>
      <c r="O1" s="570"/>
      <c r="P1" s="570"/>
      <c r="Q1" s="570"/>
      <c r="R1" s="570"/>
      <c r="S1" s="570"/>
      <c r="T1" s="570"/>
      <c r="U1" s="570"/>
      <c r="V1" s="570"/>
      <c r="W1" s="570"/>
      <c r="X1" s="570"/>
      <c r="Y1" s="570"/>
      <c r="Z1" s="570"/>
      <c r="AA1" s="570"/>
      <c r="AB1" s="570"/>
      <c r="AC1" s="570"/>
      <c r="AD1" s="570"/>
      <c r="AE1" s="570"/>
      <c r="AF1" s="570"/>
      <c r="AG1" s="570"/>
      <c r="AH1" s="570"/>
      <c r="AI1" s="570"/>
      <c r="AJ1" s="570"/>
      <c r="AK1" s="570"/>
      <c r="AL1" s="570"/>
      <c r="AM1" s="570"/>
      <c r="AN1" s="570"/>
      <c r="AO1" s="570"/>
    </row>
    <row r="2" spans="1:41" ht="18.75">
      <c r="A2" s="555" t="s">
        <v>35</v>
      </c>
      <c r="B2" s="556"/>
      <c r="C2" s="556"/>
      <c r="D2" s="556"/>
      <c r="E2" s="556"/>
      <c r="F2" s="556"/>
      <c r="G2" s="556"/>
      <c r="H2" s="556"/>
      <c r="I2" s="556"/>
      <c r="J2" s="557"/>
      <c r="K2" s="7"/>
      <c r="L2" s="558" t="s">
        <v>36</v>
      </c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59"/>
      <c r="AN2" s="559"/>
      <c r="AO2" s="560"/>
    </row>
    <row r="3" spans="1:41" ht="15.75" customHeight="1">
      <c r="A3" s="84"/>
      <c r="C3" s="561" t="s">
        <v>156</v>
      </c>
      <c r="D3" s="562"/>
      <c r="E3" s="561" t="s">
        <v>37</v>
      </c>
      <c r="F3" s="562"/>
      <c r="G3" s="561" t="s">
        <v>38</v>
      </c>
      <c r="H3" s="562"/>
      <c r="I3" s="568" t="s">
        <v>39</v>
      </c>
      <c r="J3" s="569"/>
      <c r="L3" s="177" t="s">
        <v>40</v>
      </c>
      <c r="M3" s="547" t="s">
        <v>41</v>
      </c>
      <c r="N3" s="534"/>
      <c r="O3" s="534"/>
      <c r="P3" s="534"/>
      <c r="Q3" s="534"/>
      <c r="R3" s="534"/>
      <c r="S3" s="534"/>
      <c r="T3" s="534"/>
      <c r="U3" s="534"/>
      <c r="V3" s="534"/>
      <c r="W3" s="535"/>
      <c r="X3" s="28"/>
      <c r="Y3" s="116"/>
      <c r="Z3" s="548" t="s">
        <v>42</v>
      </c>
      <c r="AA3" s="549"/>
      <c r="AB3" s="116"/>
      <c r="AC3" s="27" t="s">
        <v>40</v>
      </c>
      <c r="AD3" s="533" t="s">
        <v>20</v>
      </c>
      <c r="AE3" s="534"/>
      <c r="AF3" s="534"/>
      <c r="AG3" s="534"/>
      <c r="AH3" s="534"/>
      <c r="AI3" s="534"/>
      <c r="AJ3" s="534"/>
      <c r="AK3" s="534"/>
      <c r="AL3" s="534"/>
      <c r="AM3" s="534"/>
      <c r="AN3" s="535"/>
      <c r="AO3" s="117"/>
    </row>
    <row r="4" spans="1:41" ht="16.5" customHeight="1">
      <c r="A4" s="85" t="s">
        <v>43</v>
      </c>
      <c r="B4" s="5" t="s">
        <v>44</v>
      </c>
      <c r="C4" s="83">
        <v>35155</v>
      </c>
      <c r="E4" s="83">
        <f>45865+1040+1865.2</f>
        <v>48770.2</v>
      </c>
      <c r="G4" s="83">
        <f>I4-C4-E4</f>
        <v>2360.0000000000146</v>
      </c>
      <c r="I4" s="153">
        <f>AA10+AA11</f>
        <v>86285.200000000012</v>
      </c>
      <c r="J4" s="235">
        <f>AO6</f>
        <v>875</v>
      </c>
      <c r="L4" s="178" t="s">
        <v>45</v>
      </c>
      <c r="M4" s="32" t="s">
        <v>157</v>
      </c>
      <c r="N4" s="31" t="s">
        <v>158</v>
      </c>
      <c r="O4" s="170" t="s">
        <v>159</v>
      </c>
      <c r="P4" s="170" t="s">
        <v>145</v>
      </c>
      <c r="Q4" s="32" t="s">
        <v>146</v>
      </c>
      <c r="R4" s="32"/>
      <c r="S4" s="32"/>
      <c r="T4" s="32"/>
      <c r="U4" s="32"/>
      <c r="V4" s="32"/>
      <c r="W4" s="32"/>
      <c r="X4" s="527" t="s">
        <v>51</v>
      </c>
      <c r="Y4" s="116"/>
      <c r="Z4" s="33" t="s">
        <v>52</v>
      </c>
      <c r="AA4" s="34">
        <f>P6</f>
        <v>1</v>
      </c>
      <c r="AB4" s="116"/>
      <c r="AC4" s="30" t="s">
        <v>45</v>
      </c>
      <c r="AD4" s="32" t="s">
        <v>157</v>
      </c>
      <c r="AE4" s="31" t="s">
        <v>158</v>
      </c>
      <c r="AF4" s="170" t="s">
        <v>159</v>
      </c>
      <c r="AG4" s="170" t="s">
        <v>145</v>
      </c>
      <c r="AH4" s="32" t="s">
        <v>146</v>
      </c>
      <c r="AI4" s="32" t="s">
        <v>105</v>
      </c>
      <c r="AJ4" s="32" t="s">
        <v>106</v>
      </c>
      <c r="AK4" s="32" t="s">
        <v>160</v>
      </c>
      <c r="AL4" s="466">
        <v>45261</v>
      </c>
      <c r="AM4" s="32"/>
      <c r="AN4" s="32"/>
      <c r="AO4" s="529" t="s">
        <v>51</v>
      </c>
    </row>
    <row r="5" spans="1:41">
      <c r="A5" s="85" t="s">
        <v>53</v>
      </c>
      <c r="B5" s="5" t="s">
        <v>54</v>
      </c>
      <c r="C5" s="192">
        <f>C6+C7+C8+C9+C10+C11+C13+C14+C16+C15+C12</f>
        <v>36933.711969880002</v>
      </c>
      <c r="D5" s="5"/>
      <c r="E5" s="192">
        <f>E6+E7+E8+E9+E10+E11+E13+E14+E16+E15+E12</f>
        <v>41145.957066273615</v>
      </c>
      <c r="F5" s="5"/>
      <c r="G5" s="192">
        <f>G6+G7+G8+G9+G10+G11+G13+G14+G16+G15+G12</f>
        <v>2841.1635612904997</v>
      </c>
      <c r="H5" s="5"/>
      <c r="I5" s="154">
        <f>I6+I7+I8+I9+I10+I11+I13+I14+I16+I15+I12</f>
        <v>80920.832597444125</v>
      </c>
      <c r="J5" s="236">
        <f>AO7</f>
        <v>1599.5800000000002</v>
      </c>
      <c r="L5" s="179"/>
      <c r="M5" s="189">
        <v>1</v>
      </c>
      <c r="N5" s="80">
        <v>2</v>
      </c>
      <c r="O5" s="80">
        <v>3</v>
      </c>
      <c r="P5" s="80">
        <v>4</v>
      </c>
      <c r="Q5" s="80">
        <v>5</v>
      </c>
      <c r="R5" s="80">
        <v>6</v>
      </c>
      <c r="S5" s="80"/>
      <c r="T5" s="80"/>
      <c r="U5" s="80"/>
      <c r="V5" s="80"/>
      <c r="W5" s="36"/>
      <c r="X5" s="528"/>
      <c r="Z5" s="37" t="s">
        <v>55</v>
      </c>
      <c r="AA5" s="38">
        <f>X7+X8</f>
        <v>1.2774930192204623</v>
      </c>
      <c r="AC5" s="35"/>
      <c r="AD5" s="80">
        <v>1</v>
      </c>
      <c r="AE5" s="80">
        <v>2</v>
      </c>
      <c r="AF5" s="80">
        <v>3</v>
      </c>
      <c r="AG5" s="80">
        <v>4</v>
      </c>
      <c r="AH5" s="80">
        <v>5</v>
      </c>
      <c r="AI5" s="80">
        <v>6</v>
      </c>
      <c r="AJ5" s="36">
        <v>7</v>
      </c>
      <c r="AK5" s="36">
        <v>8</v>
      </c>
      <c r="AL5" s="36">
        <v>9</v>
      </c>
      <c r="AM5" s="36">
        <v>10</v>
      </c>
      <c r="AN5" s="36">
        <v>11</v>
      </c>
      <c r="AO5" s="530"/>
    </row>
    <row r="6" spans="1:41" ht="17.25" customHeight="1">
      <c r="A6" s="88" t="s">
        <v>56</v>
      </c>
      <c r="B6" s="81" t="s">
        <v>57</v>
      </c>
      <c r="C6" s="135">
        <f>212.93+136.4+684.75+178.04+1004.8+3284.11+889.74+C66+72+101.45+198.29</f>
        <v>9035.6193000000021</v>
      </c>
      <c r="D6" s="156">
        <f>C6+C7+C8</f>
        <v>11515.619300000002</v>
      </c>
      <c r="E6" s="156">
        <f>830.99+12+1827.5+126.28+52.8+6+32.19+510.42+239.89+91.85+993.13+E66+100.46+180.03+266.69+48.02+46.69+291.85+353.93+105.34+112.22+62.28+52.88</f>
        <v>10989.32276465442</v>
      </c>
      <c r="F6" s="156">
        <f>E6+E7+E8</f>
        <v>12908.81276465442</v>
      </c>
      <c r="G6" s="156">
        <f>44.97+G66</f>
        <v>269.64191601049868</v>
      </c>
      <c r="H6" s="156">
        <f>G6+G7+G8</f>
        <v>663.78191601049866</v>
      </c>
      <c r="I6" s="9">
        <f>C6+E6+G6</f>
        <v>20294.583980664924</v>
      </c>
      <c r="J6" s="90">
        <f>I6+I7+I8</f>
        <v>25088.213980664921</v>
      </c>
      <c r="L6" s="180"/>
      <c r="M6" s="40">
        <v>0.25</v>
      </c>
      <c r="N6" s="40">
        <v>0.5</v>
      </c>
      <c r="O6" s="40">
        <v>0.75</v>
      </c>
      <c r="P6" s="40">
        <v>1</v>
      </c>
      <c r="Q6" s="40"/>
      <c r="R6" s="40"/>
      <c r="S6" s="40"/>
      <c r="T6" s="40"/>
      <c r="U6" s="40"/>
      <c r="V6" s="40"/>
      <c r="W6" s="41"/>
      <c r="X6" s="40">
        <f>P6</f>
        <v>1</v>
      </c>
      <c r="Z6" s="531" t="s">
        <v>58</v>
      </c>
      <c r="AA6" s="532"/>
      <c r="AC6" s="42"/>
      <c r="AD6" s="43">
        <f>AO6/5</f>
        <v>175</v>
      </c>
      <c r="AE6" s="43">
        <f>AD6</f>
        <v>175</v>
      </c>
      <c r="AF6" s="43">
        <f>AD6</f>
        <v>175</v>
      </c>
      <c r="AG6" s="43">
        <f>AO6/5</f>
        <v>175</v>
      </c>
      <c r="AH6" s="43">
        <f>AG6</f>
        <v>175</v>
      </c>
      <c r="AI6" s="43"/>
      <c r="AJ6" s="44"/>
      <c r="AK6" s="44"/>
      <c r="AL6" s="44"/>
      <c r="AM6" s="44"/>
      <c r="AN6" s="44"/>
      <c r="AO6" s="121">
        <f>801+74</f>
        <v>875</v>
      </c>
    </row>
    <row r="7" spans="1:41">
      <c r="A7" s="91" t="s">
        <v>59</v>
      </c>
      <c r="B7" s="92" t="s">
        <v>60</v>
      </c>
      <c r="C7" s="135">
        <f>350/2+1620+685</f>
        <v>2480</v>
      </c>
      <c r="D7" s="13"/>
      <c r="E7" s="13">
        <f>490+49.49+470+150+290+470</f>
        <v>1919.49</v>
      </c>
      <c r="F7" s="13"/>
      <c r="G7" s="13">
        <v>300</v>
      </c>
      <c r="H7" s="13"/>
      <c r="I7" s="9">
        <f t="shared" ref="I7:I16" si="0">C7+E7+G7</f>
        <v>4699.49</v>
      </c>
      <c r="J7" s="90"/>
      <c r="L7" s="181"/>
      <c r="M7" s="48"/>
      <c r="N7" s="46"/>
      <c r="O7" s="46"/>
      <c r="P7" s="46"/>
      <c r="Q7" s="46"/>
      <c r="R7" s="46"/>
      <c r="S7" s="46"/>
      <c r="T7" s="46"/>
      <c r="U7" s="46"/>
      <c r="V7" s="46"/>
      <c r="W7" s="47"/>
      <c r="X7" s="48">
        <v>1</v>
      </c>
      <c r="Z7" s="49" t="s">
        <v>52</v>
      </c>
      <c r="AA7" s="50">
        <f>AO6/AA13</f>
        <v>6.4814814814814818</v>
      </c>
      <c r="AC7" s="51"/>
      <c r="AD7" s="52">
        <v>51.96</v>
      </c>
      <c r="AE7" s="53">
        <v>214.9</v>
      </c>
      <c r="AF7" s="53">
        <v>239</v>
      </c>
      <c r="AG7" s="53">
        <v>97.82</v>
      </c>
      <c r="AH7" s="53">
        <f>40.27+145.95</f>
        <v>186.22</v>
      </c>
      <c r="AI7" s="53">
        <f>59.85+62.77-10.5+63</f>
        <v>175.12</v>
      </c>
      <c r="AJ7" s="54">
        <v>386.56</v>
      </c>
      <c r="AK7" s="54">
        <v>175</v>
      </c>
      <c r="AL7" s="54">
        <v>73</v>
      </c>
      <c r="AM7" s="54"/>
      <c r="AN7" s="54"/>
      <c r="AO7" s="164">
        <f t="shared" ref="AO7" si="1">AD7+AE7+AF7+AG7+AH7+AI7+AN7+AJ7+AK7+AL7+AM7</f>
        <v>1599.5800000000002</v>
      </c>
    </row>
    <row r="8" spans="1:41">
      <c r="A8" s="93" t="s">
        <v>61</v>
      </c>
      <c r="B8" s="82" t="s">
        <v>62</v>
      </c>
      <c r="C8" s="152"/>
      <c r="D8" s="14"/>
      <c r="E8" s="14"/>
      <c r="F8" s="14"/>
      <c r="G8" s="14">
        <v>94.14</v>
      </c>
      <c r="H8" s="14"/>
      <c r="I8" s="217">
        <f t="shared" si="0"/>
        <v>94.14</v>
      </c>
      <c r="J8" s="95"/>
      <c r="L8" s="182"/>
      <c r="M8" s="55"/>
      <c r="N8" s="55"/>
      <c r="O8" s="55"/>
      <c r="P8" s="56">
        <f>AA11/AA10</f>
        <v>0.27749301922046232</v>
      </c>
      <c r="Q8" s="57"/>
      <c r="R8" s="56"/>
      <c r="S8" s="58"/>
      <c r="T8" s="58"/>
      <c r="U8" s="58"/>
      <c r="V8" s="58"/>
      <c r="W8" s="58"/>
      <c r="X8" s="56">
        <f>SUM(M8:W8)</f>
        <v>0.27749301922046232</v>
      </c>
      <c r="Z8" s="59" t="s">
        <v>55</v>
      </c>
      <c r="AA8" s="60">
        <f>AO7/AA13</f>
        <v>11.848740740740741</v>
      </c>
      <c r="AO8" s="105"/>
    </row>
    <row r="9" spans="1:41">
      <c r="A9" s="88" t="s">
        <v>63</v>
      </c>
      <c r="B9" s="81" t="s">
        <v>64</v>
      </c>
      <c r="C9" s="169">
        <f>(164*16+316.5*15+164.5*14-C13)*1.42</f>
        <v>6850.79</v>
      </c>
      <c r="D9" s="151">
        <f>C9+C10+C11+C13+C12</f>
        <v>16455.092669880003</v>
      </c>
      <c r="E9" s="354">
        <f>((232.15*16+226.88*15+227.67*14+67.52*15*2+667.5)-E13)*1.42</f>
        <v>10789.273599999999</v>
      </c>
      <c r="F9" s="151">
        <f>E9+E10+E11+E13+E12</f>
        <v>23215.1343016192</v>
      </c>
      <c r="G9" s="354">
        <f>(73*14-G13)*1.42</f>
        <v>1025.24</v>
      </c>
      <c r="H9" s="151">
        <f>G9+G10+G11+G13+G12</f>
        <v>1833.661645280001</v>
      </c>
      <c r="I9" s="9">
        <f t="shared" si="0"/>
        <v>18665.303599999999</v>
      </c>
      <c r="J9" s="96">
        <f>I9+I10+I11+I13+I12</f>
        <v>41503.888616779201</v>
      </c>
      <c r="L9" s="84"/>
      <c r="AO9" s="105"/>
    </row>
    <row r="10" spans="1:41">
      <c r="A10" s="91" t="s">
        <v>65</v>
      </c>
      <c r="B10" s="92" t="s">
        <v>66</v>
      </c>
      <c r="C10" s="134">
        <f>C9*0.2359</f>
        <v>1616.101361</v>
      </c>
      <c r="D10" s="13"/>
      <c r="E10" s="355">
        <f>E9*0.2359</f>
        <v>2545.1896422399996</v>
      </c>
      <c r="F10" s="13"/>
      <c r="G10" s="355">
        <f>G9*0.2359</f>
        <v>241.854116</v>
      </c>
      <c r="H10" s="13"/>
      <c r="I10" s="9">
        <f t="shared" si="0"/>
        <v>4403.14511924</v>
      </c>
      <c r="J10" s="95"/>
      <c r="L10" s="84"/>
      <c r="Z10" s="10" t="s">
        <v>67</v>
      </c>
      <c r="AA10" s="493">
        <v>67542.600000000006</v>
      </c>
      <c r="AO10" s="105"/>
    </row>
    <row r="11" spans="1:41">
      <c r="A11" s="91" t="s">
        <v>68</v>
      </c>
      <c r="B11" s="92" t="s">
        <v>69</v>
      </c>
      <c r="C11" s="134">
        <f>(C9+C10)*0.08</f>
        <v>677.35130888000003</v>
      </c>
      <c r="D11" s="13"/>
      <c r="E11" s="355">
        <f>(E9+E10)*0.08</f>
        <v>1066.7570593792</v>
      </c>
      <c r="F11" s="13"/>
      <c r="G11" s="355">
        <f>(G9+G10)*0.08</f>
        <v>101.36752928</v>
      </c>
      <c r="H11" s="13"/>
      <c r="I11" s="9">
        <f t="shared" si="0"/>
        <v>1845.4758975392001</v>
      </c>
      <c r="J11" s="95"/>
      <c r="L11" s="84"/>
      <c r="Z11" s="62" t="s">
        <v>70</v>
      </c>
      <c r="AA11" s="366">
        <f>AA56+AA55</f>
        <v>18742.599999999999</v>
      </c>
      <c r="AO11" s="105"/>
    </row>
    <row r="12" spans="1:41">
      <c r="A12" s="97" t="s">
        <v>71</v>
      </c>
      <c r="B12" s="98" t="s">
        <v>72</v>
      </c>
      <c r="C12" s="135">
        <f>(C4)*0.07</f>
        <v>2460.8500000000004</v>
      </c>
      <c r="D12" s="142"/>
      <c r="E12" s="355">
        <f>(E4)*0.07</f>
        <v>3413.9140000000002</v>
      </c>
      <c r="F12" s="142"/>
      <c r="G12" s="355">
        <f>(G4)*0.07</f>
        <v>165.20000000000104</v>
      </c>
      <c r="H12" s="142"/>
      <c r="I12" s="9">
        <f t="shared" si="0"/>
        <v>6039.9640000000018</v>
      </c>
      <c r="J12" s="95"/>
      <c r="L12" s="84"/>
      <c r="AO12" s="105"/>
    </row>
    <row r="13" spans="1:41">
      <c r="A13" s="91" t="s">
        <v>73</v>
      </c>
      <c r="B13" s="92" t="s">
        <v>74</v>
      </c>
      <c r="C13" s="139">
        <f>97*50</f>
        <v>4850</v>
      </c>
      <c r="D13" s="143"/>
      <c r="E13" s="356">
        <f>108*50</f>
        <v>5400</v>
      </c>
      <c r="F13" s="143"/>
      <c r="G13" s="356">
        <f>6*50</f>
        <v>300</v>
      </c>
      <c r="H13" s="143"/>
      <c r="I13" s="217">
        <f t="shared" si="0"/>
        <v>10550</v>
      </c>
      <c r="J13" s="99"/>
      <c r="L13" s="84"/>
      <c r="Z13" s="64" t="s">
        <v>75</v>
      </c>
      <c r="AA13" s="65">
        <v>135</v>
      </c>
      <c r="AO13" s="105"/>
    </row>
    <row r="14" spans="1:41">
      <c r="A14" s="100" t="s">
        <v>76</v>
      </c>
      <c r="B14" s="81" t="s">
        <v>77</v>
      </c>
      <c r="C14" s="134">
        <f>3685.24</f>
        <v>3685.24</v>
      </c>
      <c r="D14" s="156">
        <f>C14+C16+C15</f>
        <v>8963</v>
      </c>
      <c r="E14" s="13">
        <f>931.73+305.95+44.97+1033.59+232.02</f>
        <v>2548.2599999999998</v>
      </c>
      <c r="F14" s="13">
        <f>E14+E16+E15</f>
        <v>5022.01</v>
      </c>
      <c r="G14" s="13"/>
      <c r="H14" s="156">
        <f>G14+G16+G15</f>
        <v>343.71999999999997</v>
      </c>
      <c r="I14" s="9">
        <f t="shared" si="0"/>
        <v>6233.5</v>
      </c>
      <c r="J14" s="95">
        <f>I14+I16+I15</f>
        <v>14328.730000000001</v>
      </c>
      <c r="L14" s="84"/>
      <c r="Z14" s="66" t="s">
        <v>78</v>
      </c>
      <c r="AA14" s="66" t="s">
        <v>79</v>
      </c>
      <c r="AO14" s="105"/>
    </row>
    <row r="15" spans="1:41">
      <c r="A15" s="101" t="s">
        <v>80</v>
      </c>
      <c r="B15" s="92" t="s">
        <v>81</v>
      </c>
      <c r="C15" s="134">
        <f>661.5+590.5+310.62+648.37+41.61+13.38+52.77</f>
        <v>2318.75</v>
      </c>
      <c r="D15" s="13"/>
      <c r="E15" s="13">
        <f>213.99+294.73+139.6+450.8+285.99</f>
        <v>1385.1100000000001</v>
      </c>
      <c r="F15" s="13"/>
      <c r="G15" s="13">
        <f>589.9/2</f>
        <v>294.95</v>
      </c>
      <c r="H15" s="13"/>
      <c r="I15" s="9">
        <f t="shared" si="0"/>
        <v>3998.81</v>
      </c>
      <c r="J15" s="95"/>
      <c r="L15" s="84"/>
      <c r="Z15" s="67" t="s">
        <v>82</v>
      </c>
      <c r="AA15" s="68">
        <v>13</v>
      </c>
      <c r="AO15" s="105"/>
    </row>
    <row r="16" spans="1:41">
      <c r="A16" s="91" t="s">
        <v>83</v>
      </c>
      <c r="B16" s="92" t="s">
        <v>84</v>
      </c>
      <c r="C16" s="134">
        <f>261.1+182.42+369.14+91.65+681.13+840+246.73+125+33.27+122.57+6</f>
        <v>2959.01</v>
      </c>
      <c r="D16" s="13"/>
      <c r="E16" s="13">
        <f>70.48+26.04+24.81+46.85+46.16+26.16*2+26.24+47.45+26.23+26.29+26.7+26.72+95.98+26.62+6.53+6.55+6.58+30.04+30.31+12.58+10.85+12.44+49.82+12+30.75+140.69+11.09+6.57+152.95</f>
        <v>1088.6400000000003</v>
      </c>
      <c r="F16" s="13"/>
      <c r="G16" s="13">
        <v>48.77</v>
      </c>
      <c r="H16" s="13"/>
      <c r="I16" s="9">
        <f t="shared" si="0"/>
        <v>4096.420000000001</v>
      </c>
      <c r="J16" s="95"/>
      <c r="L16" s="84"/>
      <c r="Z16" s="67" t="s">
        <v>85</v>
      </c>
      <c r="AA16" s="68">
        <v>12</v>
      </c>
      <c r="AO16" s="105"/>
    </row>
    <row r="17" spans="1:43">
      <c r="A17" s="85" t="s">
        <v>86</v>
      </c>
      <c r="B17" s="5" t="s">
        <v>87</v>
      </c>
      <c r="C17" s="185">
        <f>C4-C5</f>
        <v>-1778.7119698800016</v>
      </c>
      <c r="D17" s="129">
        <f>C17/C4</f>
        <v>-5.0596272788508083E-2</v>
      </c>
      <c r="E17" s="185">
        <f>E4-E5</f>
        <v>7624.242933726382</v>
      </c>
      <c r="F17" s="129">
        <f>E17/E4</f>
        <v>0.15632995012787282</v>
      </c>
      <c r="G17" s="185">
        <f>G4-G5</f>
        <v>-481.16356129048518</v>
      </c>
      <c r="H17" s="129">
        <f>G17/G4</f>
        <v>-0.20388286495359415</v>
      </c>
      <c r="I17" s="234">
        <f>I4-I5</f>
        <v>5364.3674025558867</v>
      </c>
      <c r="J17" s="102">
        <f>I17/I4</f>
        <v>6.2170191441358262E-2</v>
      </c>
      <c r="L17" s="84"/>
      <c r="AO17" s="105"/>
    </row>
    <row r="18" spans="1:43" ht="20.25" customHeight="1">
      <c r="A18" s="103"/>
      <c r="B18" s="104"/>
      <c r="C18" s="104"/>
      <c r="D18" s="104"/>
      <c r="E18" s="104"/>
      <c r="F18" s="104"/>
      <c r="G18" s="104"/>
      <c r="H18" s="104"/>
      <c r="J18" s="105"/>
      <c r="L18" s="115" t="s">
        <v>40</v>
      </c>
      <c r="M18" s="533" t="s">
        <v>88</v>
      </c>
      <c r="N18" s="534"/>
      <c r="O18" s="534"/>
      <c r="P18" s="534"/>
      <c r="Q18" s="534"/>
      <c r="R18" s="534"/>
      <c r="S18" s="534"/>
      <c r="T18" s="534"/>
      <c r="U18" s="534"/>
      <c r="V18" s="534"/>
      <c r="W18" s="535"/>
      <c r="X18" s="29"/>
      <c r="Z18" s="520" t="s">
        <v>89</v>
      </c>
      <c r="AA18" s="520"/>
      <c r="AC18" s="27" t="s">
        <v>40</v>
      </c>
      <c r="AD18" s="533" t="s">
        <v>90</v>
      </c>
      <c r="AE18" s="534"/>
      <c r="AF18" s="534"/>
      <c r="AG18" s="534"/>
      <c r="AH18" s="534"/>
      <c r="AI18" s="534"/>
      <c r="AJ18" s="534"/>
      <c r="AK18" s="534"/>
      <c r="AL18" s="534"/>
      <c r="AM18" s="534"/>
      <c r="AN18" s="535"/>
      <c r="AO18" s="117"/>
    </row>
    <row r="19" spans="1:43" ht="24" customHeight="1">
      <c r="A19" s="106" t="s">
        <v>91</v>
      </c>
      <c r="B19" s="4" t="s">
        <v>92</v>
      </c>
      <c r="C19" s="107"/>
      <c r="D19" s="107"/>
      <c r="E19" s="107"/>
      <c r="F19" s="107"/>
      <c r="G19" s="107"/>
      <c r="H19" s="107"/>
      <c r="J19" s="105"/>
      <c r="L19" s="118" t="s">
        <v>45</v>
      </c>
      <c r="M19" s="32" t="s">
        <v>157</v>
      </c>
      <c r="N19" s="31" t="s">
        <v>158</v>
      </c>
      <c r="O19" s="170" t="s">
        <v>159</v>
      </c>
      <c r="P19" s="170" t="s">
        <v>145</v>
      </c>
      <c r="Q19" s="32" t="s">
        <v>146</v>
      </c>
      <c r="R19" s="32"/>
      <c r="S19" s="31"/>
      <c r="T19" s="31"/>
      <c r="U19" s="31"/>
      <c r="V19" s="31"/>
      <c r="W19" s="31"/>
      <c r="X19" s="516" t="s">
        <v>51</v>
      </c>
      <c r="Z19" s="69" t="s">
        <v>52</v>
      </c>
      <c r="AA19" s="50">
        <v>20657.84</v>
      </c>
      <c r="AC19" s="30" t="s">
        <v>45</v>
      </c>
      <c r="AD19" s="32" t="s">
        <v>157</v>
      </c>
      <c r="AE19" s="31" t="s">
        <v>158</v>
      </c>
      <c r="AF19" s="170" t="s">
        <v>159</v>
      </c>
      <c r="AG19" s="170" t="s">
        <v>145</v>
      </c>
      <c r="AH19" s="32" t="s">
        <v>146</v>
      </c>
      <c r="AI19" s="32" t="s">
        <v>105</v>
      </c>
      <c r="AJ19" s="32" t="s">
        <v>106</v>
      </c>
      <c r="AK19" s="32" t="s">
        <v>160</v>
      </c>
      <c r="AL19" s="466">
        <v>45261</v>
      </c>
      <c r="AM19" s="31"/>
      <c r="AN19" s="31"/>
      <c r="AO19" s="518" t="s">
        <v>51</v>
      </c>
    </row>
    <row r="20" spans="1:43">
      <c r="A20" s="108" t="s">
        <v>93</v>
      </c>
      <c r="B20" s="3">
        <f>J6/I5*100</f>
        <v>31.00340564397175</v>
      </c>
      <c r="C20" s="109"/>
      <c r="D20" s="109"/>
      <c r="E20" s="109"/>
      <c r="F20" s="109"/>
      <c r="G20" s="109"/>
      <c r="H20" s="109"/>
      <c r="J20" s="105"/>
      <c r="L20" s="118"/>
      <c r="M20" s="70">
        <v>1</v>
      </c>
      <c r="N20" s="70">
        <v>2</v>
      </c>
      <c r="O20" s="70">
        <v>3</v>
      </c>
      <c r="P20" s="70">
        <v>4</v>
      </c>
      <c r="Q20" s="70">
        <v>5</v>
      </c>
      <c r="R20" s="70">
        <v>6</v>
      </c>
      <c r="S20" s="70"/>
      <c r="T20" s="70"/>
      <c r="U20" s="70"/>
      <c r="V20" s="70"/>
      <c r="W20" s="70"/>
      <c r="X20" s="517"/>
      <c r="Z20" s="71" t="s">
        <v>55</v>
      </c>
      <c r="AA20" s="77">
        <f>I6+I7</f>
        <v>24994.073980664922</v>
      </c>
      <c r="AC20" s="30"/>
      <c r="AD20" s="70">
        <v>1</v>
      </c>
      <c r="AE20" s="70">
        <v>2</v>
      </c>
      <c r="AF20" s="70">
        <v>3</v>
      </c>
      <c r="AG20" s="70">
        <v>4</v>
      </c>
      <c r="AH20" s="70">
        <v>5</v>
      </c>
      <c r="AI20" s="70">
        <v>6</v>
      </c>
      <c r="AJ20" s="70">
        <v>7</v>
      </c>
      <c r="AK20" s="70">
        <v>8</v>
      </c>
      <c r="AL20" s="70">
        <v>9</v>
      </c>
      <c r="AM20" s="70">
        <v>10</v>
      </c>
      <c r="AN20" s="70">
        <v>11</v>
      </c>
      <c r="AO20" s="519"/>
    </row>
    <row r="21" spans="1:43">
      <c r="A21" s="110" t="s">
        <v>94</v>
      </c>
      <c r="B21" s="3">
        <f>J9/I5*100</f>
        <v>51.2894977530052</v>
      </c>
      <c r="C21" s="109"/>
      <c r="D21" s="109"/>
      <c r="E21" s="109"/>
      <c r="F21" s="109"/>
      <c r="G21" s="109"/>
      <c r="H21" s="109"/>
      <c r="J21" s="105"/>
      <c r="L21" s="125"/>
      <c r="M21" s="73">
        <f>X21/4</f>
        <v>5164.46</v>
      </c>
      <c r="N21" s="73">
        <f>M21</f>
        <v>5164.46</v>
      </c>
      <c r="O21" s="73">
        <f>M21</f>
        <v>5164.46</v>
      </c>
      <c r="P21" s="73">
        <f>X21/4</f>
        <v>5164.46</v>
      </c>
      <c r="Q21" s="73"/>
      <c r="R21" s="73"/>
      <c r="S21" s="73"/>
      <c r="T21" s="73"/>
      <c r="U21" s="73"/>
      <c r="V21" s="73"/>
      <c r="W21" s="73"/>
      <c r="X21" s="74">
        <f>AA19</f>
        <v>20657.84</v>
      </c>
      <c r="Z21" s="520" t="s">
        <v>90</v>
      </c>
      <c r="AA21" s="520"/>
      <c r="AC21" s="72"/>
      <c r="AD21" s="73">
        <f>AO21/4</f>
        <v>0</v>
      </c>
      <c r="AE21" s="73">
        <f>AD21</f>
        <v>0</v>
      </c>
      <c r="AF21" s="73">
        <f>AD21</f>
        <v>0</v>
      </c>
      <c r="AG21" s="73">
        <f>AO21/4</f>
        <v>0</v>
      </c>
      <c r="AH21" s="73"/>
      <c r="AI21" s="73"/>
      <c r="AJ21" s="73"/>
      <c r="AK21" s="73"/>
      <c r="AL21" s="73"/>
      <c r="AM21" s="73"/>
      <c r="AN21" s="73"/>
      <c r="AO21" s="126">
        <f>AA22</f>
        <v>0</v>
      </c>
    </row>
    <row r="22" spans="1:43">
      <c r="A22" s="111" t="s">
        <v>95</v>
      </c>
      <c r="B22" s="2">
        <f>J14/I5*100</f>
        <v>17.707096603023054</v>
      </c>
      <c r="C22" s="109"/>
      <c r="D22" s="109"/>
      <c r="E22" s="109"/>
      <c r="F22" s="109"/>
      <c r="G22" s="109"/>
      <c r="H22" s="109"/>
      <c r="J22" s="105"/>
      <c r="L22" s="125"/>
      <c r="M22" s="75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163">
        <f t="shared" ref="X22" si="2">M22+N22+O22+P22+Q22+R22+W22+S22+T22+U22+V22</f>
        <v>0</v>
      </c>
      <c r="Z22" s="69" t="s">
        <v>52</v>
      </c>
      <c r="AA22" s="50"/>
      <c r="AC22" s="72"/>
      <c r="AD22" s="75">
        <v>3685.24</v>
      </c>
      <c r="AE22" s="76">
        <f>661.5+590.5+41.61</f>
        <v>1293.6099999999999</v>
      </c>
      <c r="AF22" s="76"/>
      <c r="AG22" s="76">
        <f>310.62+648.37</f>
        <v>958.99</v>
      </c>
      <c r="AH22" s="76">
        <f>931.73+305.57+44.97+213.99+1033.59+13.38+52.77+294.73+139.6+450.8+285.99+232</f>
        <v>3999.12</v>
      </c>
      <c r="AI22" s="76"/>
      <c r="AJ22" s="76"/>
      <c r="AK22" s="76"/>
      <c r="AL22" s="76">
        <v>296</v>
      </c>
      <c r="AM22" s="76"/>
      <c r="AN22" s="76"/>
      <c r="AO22" s="233">
        <f>AD22+AE22+AF22+AG22+AH22+AI22+AN22+AJ22+AK22+AL22+AM22</f>
        <v>10232.959999999999</v>
      </c>
      <c r="AQ22" s="1"/>
    </row>
    <row r="23" spans="1:43">
      <c r="A23" s="84"/>
      <c r="J23" s="105"/>
      <c r="L23" s="84"/>
      <c r="Z23" s="71" t="s">
        <v>55</v>
      </c>
      <c r="AA23" s="77">
        <f>AO22</f>
        <v>10232.959999999999</v>
      </c>
      <c r="AO23" s="105"/>
    </row>
    <row r="24" spans="1:43">
      <c r="A24" s="84"/>
      <c r="J24" s="105"/>
      <c r="L24" s="84"/>
      <c r="X24" s="128"/>
      <c r="AO24" s="105"/>
    </row>
    <row r="25" spans="1:43" ht="25.5" customHeight="1">
      <c r="A25" s="84"/>
      <c r="J25" s="105"/>
      <c r="L25" s="84"/>
      <c r="Z25" s="10" t="s">
        <v>96</v>
      </c>
      <c r="AA25" s="145"/>
      <c r="AO25" s="105"/>
    </row>
    <row r="26" spans="1:43">
      <c r="A26" s="84"/>
      <c r="J26" s="105"/>
      <c r="L26" s="84"/>
      <c r="Z26" s="10" t="s">
        <v>97</v>
      </c>
      <c r="AA26" s="78"/>
      <c r="AO26" s="105"/>
    </row>
    <row r="27" spans="1:43">
      <c r="A27" s="84"/>
      <c r="J27" s="105"/>
      <c r="L27" s="84"/>
      <c r="AO27" s="105"/>
    </row>
    <row r="28" spans="1:43">
      <c r="A28" s="84"/>
      <c r="J28" s="105"/>
      <c r="L28" s="84"/>
      <c r="AO28" s="105"/>
    </row>
    <row r="29" spans="1:43">
      <c r="A29" s="84"/>
      <c r="J29" s="105"/>
      <c r="L29" s="84"/>
      <c r="AO29" s="105"/>
    </row>
    <row r="30" spans="1:43">
      <c r="A30" s="84"/>
      <c r="J30" s="105"/>
      <c r="L30" s="84"/>
      <c r="Z30" s="521" t="s">
        <v>98</v>
      </c>
      <c r="AA30" s="522"/>
      <c r="AO30" s="105"/>
    </row>
    <row r="31" spans="1:43">
      <c r="A31" s="84"/>
      <c r="J31" s="105"/>
      <c r="L31" s="84"/>
      <c r="Z31" s="523">
        <v>45300</v>
      </c>
      <c r="AA31" s="524"/>
      <c r="AO31" s="105"/>
    </row>
    <row r="32" spans="1:43">
      <c r="A32" s="112"/>
      <c r="B32" s="113"/>
      <c r="C32" s="113"/>
      <c r="D32" s="113"/>
      <c r="E32" s="113"/>
      <c r="F32" s="113"/>
      <c r="G32" s="113"/>
      <c r="H32" s="113"/>
      <c r="I32" s="113"/>
      <c r="J32" s="114"/>
      <c r="L32" s="112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525"/>
      <c r="AA32" s="526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4"/>
    </row>
    <row r="37" spans="1:30">
      <c r="K37" s="1"/>
    </row>
    <row r="42" spans="1:30">
      <c r="A42" t="s">
        <v>161</v>
      </c>
      <c r="Z42" s="171" t="s">
        <v>162</v>
      </c>
      <c r="AA42" s="171">
        <f>SUM(AA43:AA50)</f>
        <v>9930.2000000000007</v>
      </c>
      <c r="AB42" s="226"/>
      <c r="AC42" s="226"/>
      <c r="AD42" s="453">
        <v>45237</v>
      </c>
    </row>
    <row r="43" spans="1:30">
      <c r="A43" t="s">
        <v>116</v>
      </c>
      <c r="B43">
        <v>11322711</v>
      </c>
      <c r="C43">
        <v>1558</v>
      </c>
      <c r="D43" t="s">
        <v>163</v>
      </c>
      <c r="E43">
        <v>13213.6</v>
      </c>
      <c r="Z43" s="462" t="s">
        <v>164</v>
      </c>
      <c r="AA43" s="462">
        <v>1015</v>
      </c>
      <c r="AB43" s="462">
        <v>1</v>
      </c>
      <c r="AC43" s="462"/>
      <c r="AD43" s="462" t="s">
        <v>165</v>
      </c>
    </row>
    <row r="44" spans="1:30">
      <c r="Z44" s="474" t="s">
        <v>166</v>
      </c>
      <c r="AA44" s="474">
        <v>2925</v>
      </c>
      <c r="AB44" s="474">
        <v>2</v>
      </c>
      <c r="AC44" s="474"/>
      <c r="AD44" s="474"/>
    </row>
    <row r="45" spans="1:30">
      <c r="Z45" s="463" t="s">
        <v>167</v>
      </c>
      <c r="AA45" s="462">
        <v>1040</v>
      </c>
      <c r="AB45" s="462">
        <v>3</v>
      </c>
      <c r="AC45" s="462"/>
      <c r="AD45" s="462" t="s">
        <v>165</v>
      </c>
    </row>
    <row r="46" spans="1:30">
      <c r="Z46" s="463" t="s">
        <v>168</v>
      </c>
      <c r="AA46" s="462">
        <v>750</v>
      </c>
      <c r="AB46" s="462">
        <v>4</v>
      </c>
      <c r="AC46" s="462"/>
      <c r="AD46" s="462" t="s">
        <v>165</v>
      </c>
    </row>
    <row r="47" spans="1:30">
      <c r="A47" t="s">
        <v>111</v>
      </c>
      <c r="B47">
        <v>63773618</v>
      </c>
      <c r="C47">
        <v>10106.5</v>
      </c>
      <c r="D47">
        <v>64563604</v>
      </c>
      <c r="E47">
        <v>2956.91</v>
      </c>
      <c r="Z47" s="462" t="s">
        <v>169</v>
      </c>
      <c r="AA47" s="462">
        <v>445</v>
      </c>
      <c r="AB47" s="462">
        <v>5</v>
      </c>
      <c r="AC47" s="462"/>
      <c r="AD47" s="462" t="s">
        <v>165</v>
      </c>
    </row>
    <row r="48" spans="1:30">
      <c r="B48">
        <v>63787733</v>
      </c>
      <c r="C48">
        <v>2539.21</v>
      </c>
      <c r="D48">
        <v>64587173</v>
      </c>
      <c r="E48">
        <v>8274.09</v>
      </c>
      <c r="Z48" s="452" t="s">
        <v>170</v>
      </c>
      <c r="AA48" s="226">
        <v>0</v>
      </c>
      <c r="AB48" s="226">
        <v>6</v>
      </c>
      <c r="AC48" s="226"/>
      <c r="AD48" s="226" t="s">
        <v>171</v>
      </c>
    </row>
    <row r="49" spans="1:30">
      <c r="B49">
        <v>63946016</v>
      </c>
      <c r="C49">
        <v>424.86</v>
      </c>
      <c r="D49">
        <v>64630353</v>
      </c>
      <c r="E49">
        <v>3508.09</v>
      </c>
      <c r="Z49" s="462" t="s">
        <v>172</v>
      </c>
      <c r="AA49" s="462">
        <v>1890</v>
      </c>
      <c r="AB49" s="462">
        <v>7</v>
      </c>
      <c r="AC49" s="462"/>
      <c r="AD49" s="462" t="s">
        <v>165</v>
      </c>
    </row>
    <row r="50" spans="1:30">
      <c r="B50">
        <v>63946008</v>
      </c>
      <c r="C50">
        <v>869.04</v>
      </c>
      <c r="D50">
        <v>64758576</v>
      </c>
      <c r="E50">
        <v>1045.95</v>
      </c>
      <c r="Z50" s="475" t="s">
        <v>163</v>
      </c>
      <c r="AA50" s="475">
        <v>1865.2</v>
      </c>
      <c r="AB50" s="475">
        <v>8</v>
      </c>
      <c r="AC50" s="475"/>
      <c r="AD50" s="475" t="s">
        <v>165</v>
      </c>
    </row>
    <row r="51" spans="1:30">
      <c r="B51">
        <v>64015100</v>
      </c>
      <c r="C51">
        <v>812.24</v>
      </c>
      <c r="D51">
        <v>64830938</v>
      </c>
      <c r="E51">
        <v>1512.28</v>
      </c>
      <c r="Z51" s="462" t="s">
        <v>173</v>
      </c>
      <c r="AA51" s="462">
        <v>1500</v>
      </c>
      <c r="AB51" s="462">
        <v>9</v>
      </c>
      <c r="AC51" s="462"/>
      <c r="AD51" s="462" t="s">
        <v>165</v>
      </c>
    </row>
    <row r="52" spans="1:30">
      <c r="B52">
        <v>64116551</v>
      </c>
      <c r="C52">
        <v>1277.49</v>
      </c>
      <c r="D52">
        <v>64914518</v>
      </c>
      <c r="E52">
        <v>2434.23</v>
      </c>
      <c r="Z52" s="474" t="s">
        <v>174</v>
      </c>
      <c r="AA52" s="226">
        <v>7042.4</v>
      </c>
      <c r="AB52" s="474">
        <v>10</v>
      </c>
      <c r="AC52" s="474"/>
      <c r="AD52" s="474"/>
    </row>
    <row r="53" spans="1:30">
      <c r="B53">
        <v>64147721</v>
      </c>
      <c r="C53">
        <v>1436.36</v>
      </c>
      <c r="D53">
        <v>64845084</v>
      </c>
      <c r="E53">
        <v>1273.52</v>
      </c>
      <c r="Z53" s="464"/>
      <c r="AA53">
        <v>270</v>
      </c>
      <c r="AB53" s="94">
        <v>11</v>
      </c>
      <c r="AC53" s="94"/>
      <c r="AD53" s="94"/>
    </row>
    <row r="54" spans="1:30">
      <c r="B54">
        <v>64163322</v>
      </c>
      <c r="C54">
        <v>2811.07</v>
      </c>
      <c r="D54">
        <v>65282923</v>
      </c>
      <c r="E54">
        <v>870.22</v>
      </c>
      <c r="Z54" s="94"/>
      <c r="AA54" s="465">
        <f>SUM(AA43:AA53)</f>
        <v>18742.599999999999</v>
      </c>
      <c r="AB54" s="94"/>
      <c r="AC54" s="94"/>
      <c r="AD54" s="94"/>
    </row>
    <row r="55" spans="1:30">
      <c r="Z55" s="94"/>
      <c r="AA55" s="94">
        <f>AA44+AA48+AA52</f>
        <v>9967.4</v>
      </c>
      <c r="AB55" s="94"/>
      <c r="AC55" s="94"/>
      <c r="AD55" s="94"/>
    </row>
    <row r="56" spans="1:30">
      <c r="A56" t="s">
        <v>175</v>
      </c>
      <c r="B56">
        <v>146391</v>
      </c>
      <c r="C56">
        <v>2190</v>
      </c>
      <c r="D56">
        <v>147027</v>
      </c>
      <c r="E56">
        <v>2354.75</v>
      </c>
      <c r="Z56" s="94"/>
      <c r="AA56" s="94">
        <f>AA54-AA55</f>
        <v>8775.1999999999989</v>
      </c>
      <c r="AB56" s="94"/>
      <c r="AC56" s="94"/>
      <c r="AD56" s="94"/>
    </row>
    <row r="57" spans="1:30">
      <c r="B57">
        <v>146217</v>
      </c>
      <c r="C57">
        <v>1232</v>
      </c>
      <c r="D57">
        <v>147340</v>
      </c>
      <c r="E57">
        <v>1556</v>
      </c>
    </row>
    <row r="58" spans="1:30">
      <c r="D58">
        <v>147516</v>
      </c>
      <c r="E58">
        <v>3326</v>
      </c>
    </row>
    <row r="59" spans="1:30">
      <c r="D59">
        <v>147559</v>
      </c>
      <c r="E59">
        <v>4851</v>
      </c>
    </row>
    <row r="60" spans="1:30">
      <c r="D60">
        <v>147730</v>
      </c>
      <c r="E60">
        <v>774</v>
      </c>
    </row>
    <row r="61" spans="1:30">
      <c r="D61">
        <v>147803</v>
      </c>
      <c r="E61">
        <v>1309</v>
      </c>
    </row>
    <row r="62" spans="1:30">
      <c r="D62">
        <v>147872</v>
      </c>
      <c r="E62">
        <v>1210</v>
      </c>
    </row>
    <row r="63" spans="1:30">
      <c r="A63" t="s">
        <v>176</v>
      </c>
      <c r="D63">
        <v>3669</v>
      </c>
      <c r="E63">
        <v>2632.8</v>
      </c>
    </row>
    <row r="64" spans="1:30">
      <c r="A64" t="s">
        <v>177</v>
      </c>
      <c r="F64">
        <v>140617291</v>
      </c>
      <c r="G64">
        <v>2568</v>
      </c>
    </row>
    <row r="65" spans="2:7">
      <c r="B65" t="s">
        <v>112</v>
      </c>
      <c r="C65">
        <f>SUM(C43:C58)</f>
        <v>25256.77</v>
      </c>
      <c r="E65">
        <f>SUM(E43:E63)</f>
        <v>53102.44</v>
      </c>
      <c r="G65">
        <f>SUM(G43:G64)</f>
        <v>2568</v>
      </c>
    </row>
    <row r="66" spans="2:7">
      <c r="B66" t="s">
        <v>113</v>
      </c>
      <c r="C66" s="1">
        <f>C65*0.09</f>
        <v>2273.1093000000001</v>
      </c>
      <c r="E66" s="1">
        <f>E65/11.43</f>
        <v>4645.8827646544187</v>
      </c>
      <c r="G66" s="1">
        <f>G65/11.43</f>
        <v>224.67191601049871</v>
      </c>
    </row>
  </sheetData>
  <mergeCells count="21">
    <mergeCell ref="B1:AO1"/>
    <mergeCell ref="A2:J2"/>
    <mergeCell ref="L2:AO2"/>
    <mergeCell ref="C3:D3"/>
    <mergeCell ref="E3:F3"/>
    <mergeCell ref="I3:J3"/>
    <mergeCell ref="M3:W3"/>
    <mergeCell ref="Z3:AA3"/>
    <mergeCell ref="AD3:AN3"/>
    <mergeCell ref="G3:H3"/>
    <mergeCell ref="Z31:AA32"/>
    <mergeCell ref="X4:X5"/>
    <mergeCell ref="AO4:AO5"/>
    <mergeCell ref="Z6:AA6"/>
    <mergeCell ref="M18:W18"/>
    <mergeCell ref="Z18:AA18"/>
    <mergeCell ref="AD18:AN18"/>
    <mergeCell ref="X19:X20"/>
    <mergeCell ref="AO19:AO20"/>
    <mergeCell ref="Z21:AA21"/>
    <mergeCell ref="Z30:AA30"/>
  </mergeCells>
  <conditionalFormatting sqref="AA20">
    <cfRule type="cellIs" dxfId="26" priority="2" operator="greaterThan">
      <formula>$AA$19</formula>
    </cfRule>
  </conditionalFormatting>
  <conditionalFormatting sqref="AA23">
    <cfRule type="cellIs" dxfId="25" priority="1" operator="greaterThan">
      <formula>$AA$22</formula>
    </cfRule>
  </conditionalFormatting>
  <pageMargins left="0.7" right="0.7" top="0.75" bottom="0.75" header="0.3" footer="0.3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1F29C-241A-4651-8CFD-D5560A1EC77A}">
  <sheetPr>
    <pageSetUpPr fitToPage="1"/>
  </sheetPr>
  <dimension ref="A1:AM45"/>
  <sheetViews>
    <sheetView workbookViewId="0">
      <selection activeCell="B25" sqref="B25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2.140625" customWidth="1"/>
    <col min="4" max="4" width="10.7109375" customWidth="1"/>
    <col min="5" max="5" width="10.7109375" customWidth="1" outlineLevel="1"/>
    <col min="6" max="6" width="10.140625" customWidth="1" outlineLevel="1"/>
    <col min="7" max="8" width="10.7109375" customWidth="1"/>
    <col min="9" max="9" width="3.28515625" customWidth="1"/>
    <col min="10" max="10" width="0.5703125" hidden="1" customWidth="1" outlineLevel="1"/>
    <col min="11" max="11" width="10.7109375" hidden="1" customWidth="1" outlineLevel="1" collapsed="1"/>
    <col min="12" max="15" width="10.7109375" hidden="1" customWidth="1" outlineLevel="1"/>
    <col min="16" max="20" width="9.140625" hidden="1" customWidth="1" outlineLevel="1"/>
    <col min="21" max="21" width="1.42578125" hidden="1" customWidth="1" outlineLevel="1"/>
    <col min="22" max="22" width="9.140625" hidden="1" customWidth="1" outlineLevel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2.5703125" customWidth="1" collapsed="1"/>
    <col min="29" max="31" width="10.7109375" customWidth="1"/>
    <col min="32" max="32" width="12.7109375" customWidth="1"/>
    <col min="33" max="38" width="12.7109375" hidden="1" customWidth="1" outlineLevel="1"/>
    <col min="39" max="39" width="12.7109375" customWidth="1" collapsed="1"/>
    <col min="40" max="40" width="12.7109375" customWidth="1"/>
  </cols>
  <sheetData>
    <row r="1" spans="1:39" ht="25.5" customHeight="1">
      <c r="A1" s="237" t="s">
        <v>178</v>
      </c>
      <c r="B1" s="237" t="s">
        <v>179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</row>
    <row r="2" spans="1:39" ht="18.75">
      <c r="A2" s="537" t="s">
        <v>35</v>
      </c>
      <c r="B2" s="538"/>
      <c r="C2" s="538"/>
      <c r="D2" s="538"/>
      <c r="E2" s="538"/>
      <c r="F2" s="538"/>
      <c r="G2" s="538"/>
      <c r="H2" s="539"/>
      <c r="I2" s="7"/>
      <c r="J2" s="540" t="s">
        <v>36</v>
      </c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2"/>
    </row>
    <row r="3" spans="1:39" ht="15.75" customHeight="1">
      <c r="A3" s="84"/>
      <c r="C3" s="543" t="s">
        <v>156</v>
      </c>
      <c r="D3" s="544"/>
      <c r="E3" s="543" t="s">
        <v>180</v>
      </c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39" ht="16.5" customHeight="1">
      <c r="A4" s="85" t="s">
        <v>43</v>
      </c>
      <c r="B4" s="5" t="s">
        <v>44</v>
      </c>
      <c r="C4" s="83">
        <f>Y10/5*4</f>
        <v>56240.104000000007</v>
      </c>
      <c r="E4" s="83">
        <f>Y10/5</f>
        <v>14060.026000000002</v>
      </c>
      <c r="G4" s="153">
        <f>Y10+Y11</f>
        <v>70300.13</v>
      </c>
      <c r="H4" s="86">
        <f>D4+F4</f>
        <v>0</v>
      </c>
      <c r="J4" s="178" t="s">
        <v>45</v>
      </c>
      <c r="K4" s="188" t="s">
        <v>158</v>
      </c>
      <c r="L4" s="32" t="s">
        <v>159</v>
      </c>
      <c r="M4" s="31" t="s">
        <v>145</v>
      </c>
      <c r="N4" s="170" t="s">
        <v>146</v>
      </c>
      <c r="O4" s="32" t="s">
        <v>181</v>
      </c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v>1</v>
      </c>
      <c r="Z4" s="116"/>
      <c r="AA4" s="30" t="s">
        <v>45</v>
      </c>
      <c r="AB4" s="188" t="s">
        <v>158</v>
      </c>
      <c r="AC4" s="32" t="s">
        <v>159</v>
      </c>
      <c r="AD4" s="31" t="s">
        <v>145</v>
      </c>
      <c r="AE4" s="170" t="s">
        <v>146</v>
      </c>
      <c r="AF4" s="32" t="s">
        <v>181</v>
      </c>
      <c r="AG4" s="32"/>
      <c r="AH4" s="32"/>
      <c r="AI4" s="32"/>
      <c r="AJ4" s="32"/>
      <c r="AK4" s="32"/>
      <c r="AL4" s="32"/>
      <c r="AM4" s="529" t="s">
        <v>51</v>
      </c>
    </row>
    <row r="5" spans="1:39">
      <c r="A5" s="85" t="s">
        <v>53</v>
      </c>
      <c r="B5" s="5" t="s">
        <v>54</v>
      </c>
      <c r="C5" s="192">
        <f>C6+C7+C8+C9+C10+C11+C13+C14+C16+C15+C12</f>
        <v>32156.377707667052</v>
      </c>
      <c r="D5" s="5"/>
      <c r="E5" s="192">
        <f>E6+E7+E8+E9+E10+E11+E13+E14+E16+E15+E12</f>
        <v>6225.9318199999998</v>
      </c>
      <c r="F5" s="5"/>
      <c r="G5" s="154">
        <f>G6+G7+G8+G9+G10+G11+G13+G14+G16+G15+G12</f>
        <v>38382.309527667057</v>
      </c>
      <c r="H5" s="87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N7+V8</f>
        <v>0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88" t="s">
        <v>56</v>
      </c>
      <c r="B6" s="81" t="s">
        <v>57</v>
      </c>
      <c r="C6" s="22">
        <f>377.31+185.85+461+300.45+24.21+8.99+7.47+60.64+87.86+45+98.99+1892.94+2925.74+99.13+110.3+72.82+7.98+22.99+92.49+25.95+103.4+736.6+61.52+20.38+5.97+9.98+11.49+103.21+454.57</f>
        <v>8415.23</v>
      </c>
      <c r="D6" s="13">
        <f>C6+C7+C8</f>
        <v>10733.8</v>
      </c>
      <c r="E6" s="156">
        <f>29.77+3.19+23.98</f>
        <v>56.94</v>
      </c>
      <c r="F6" s="13">
        <f>E6+E7+E8</f>
        <v>1606.44</v>
      </c>
      <c r="G6" s="9">
        <f>C6+E6</f>
        <v>8472.17</v>
      </c>
      <c r="H6" s="90">
        <f>G6+G7+G8</f>
        <v>12340.24</v>
      </c>
      <c r="J6" s="180"/>
      <c r="K6" s="40"/>
      <c r="L6" s="40"/>
      <c r="M6" s="40"/>
      <c r="N6" s="40"/>
      <c r="O6" s="40"/>
      <c r="P6" s="40"/>
      <c r="Q6" s="40"/>
      <c r="R6" s="40"/>
      <c r="S6" s="40"/>
      <c r="T6" s="40"/>
      <c r="U6" s="41"/>
      <c r="V6" s="40">
        <f>M6</f>
        <v>0</v>
      </c>
      <c r="X6" s="531" t="s">
        <v>58</v>
      </c>
      <c r="Y6" s="532"/>
      <c r="AA6" s="42"/>
      <c r="AB6" s="43">
        <f>AM6/5</f>
        <v>38.4</v>
      </c>
      <c r="AC6" s="43">
        <f>AB6</f>
        <v>38.4</v>
      </c>
      <c r="AD6" s="43">
        <f>AB6</f>
        <v>38.4</v>
      </c>
      <c r="AE6" s="43">
        <f>AM6/5</f>
        <v>38.4</v>
      </c>
      <c r="AF6" s="43">
        <f>AE6</f>
        <v>38.4</v>
      </c>
      <c r="AG6" s="43"/>
      <c r="AH6" s="44"/>
      <c r="AI6" s="44"/>
      <c r="AJ6" s="44"/>
      <c r="AK6" s="44"/>
      <c r="AL6" s="44"/>
      <c r="AM6" s="121">
        <v>192</v>
      </c>
    </row>
    <row r="7" spans="1:39">
      <c r="A7" s="91" t="s">
        <v>59</v>
      </c>
      <c r="B7" s="92" t="s">
        <v>60</v>
      </c>
      <c r="C7" s="135">
        <f>350/2</f>
        <v>175</v>
      </c>
      <c r="D7" s="13"/>
      <c r="E7" s="13"/>
      <c r="F7" s="13"/>
      <c r="G7" s="9">
        <f t="shared" ref="G7:G16" si="0">C7+E7</f>
        <v>175</v>
      </c>
      <c r="H7" s="90"/>
      <c r="J7" s="181"/>
      <c r="K7" s="48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f>P7</f>
        <v>0</v>
      </c>
      <c r="X7" s="49" t="s">
        <v>52</v>
      </c>
      <c r="Y7" s="50">
        <f>AM6/Y13</f>
        <v>4.6829268292682924</v>
      </c>
      <c r="AA7" s="51"/>
      <c r="AB7" s="52">
        <v>160.41</v>
      </c>
      <c r="AC7" s="53">
        <v>213.37</v>
      </c>
      <c r="AD7" s="53">
        <v>22.51</v>
      </c>
      <c r="AE7" s="53"/>
      <c r="AF7" s="53"/>
      <c r="AG7" s="53"/>
      <c r="AH7" s="54"/>
      <c r="AI7" s="54"/>
      <c r="AJ7" s="54"/>
      <c r="AK7" s="54"/>
      <c r="AL7" s="54"/>
      <c r="AM7" s="164">
        <f t="shared" ref="AM7" si="1">AB7+AC7+AD7+AE7+AF7+AG7+AL7+AH7+AI7+AJ7+AK7</f>
        <v>396.28999999999996</v>
      </c>
    </row>
    <row r="8" spans="1:39">
      <c r="A8" s="93" t="s">
        <v>61</v>
      </c>
      <c r="B8" s="82" t="s">
        <v>62</v>
      </c>
      <c r="C8" s="152">
        <f>14.42+372.7+1756.45</f>
        <v>2143.5700000000002</v>
      </c>
      <c r="D8" s="14"/>
      <c r="E8" s="14">
        <f>415.5+1134</f>
        <v>1549.5</v>
      </c>
      <c r="F8" s="14"/>
      <c r="G8" s="9">
        <f t="shared" si="0"/>
        <v>3693.07</v>
      </c>
      <c r="H8" s="95"/>
      <c r="J8" s="182"/>
      <c r="K8" s="55"/>
      <c r="L8" s="55"/>
      <c r="M8" s="55"/>
      <c r="N8" s="56"/>
      <c r="O8" s="57"/>
      <c r="P8" s="56"/>
      <c r="Q8" s="58"/>
      <c r="R8" s="58"/>
      <c r="S8" s="58"/>
      <c r="T8" s="58"/>
      <c r="U8" s="58"/>
      <c r="V8" s="56">
        <f>SUM(K8:U8)</f>
        <v>0</v>
      </c>
      <c r="X8" s="59" t="s">
        <v>55</v>
      </c>
      <c r="Y8" s="77">
        <f>AM7/Y13</f>
        <v>9.6656097560975596</v>
      </c>
      <c r="AM8" s="105"/>
    </row>
    <row r="9" spans="1:39">
      <c r="A9" s="88" t="s">
        <v>63</v>
      </c>
      <c r="B9" s="81" t="s">
        <v>64</v>
      </c>
      <c r="C9" s="138">
        <f>((3000/22*18+90.7*15+92*15+100.8*12+108.77*12)-C13)*1.42</f>
        <v>5765.0373454545443</v>
      </c>
      <c r="D9" s="151">
        <f>C9+C10+C11+C13+C12</f>
        <v>15281.817707667054</v>
      </c>
      <c r="E9" s="212"/>
      <c r="F9" s="137">
        <f>E9+E10+E11+E13+E12</f>
        <v>984.20182000000023</v>
      </c>
      <c r="G9" s="24">
        <f t="shared" si="0"/>
        <v>5765.0373454545443</v>
      </c>
      <c r="H9" s="96">
        <f>G9+G10+G11+G13+G12</f>
        <v>16266.019527667055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1359.9723097927269</v>
      </c>
      <c r="D10" s="156"/>
      <c r="E10" s="159">
        <f>E9*0.2359</f>
        <v>0</v>
      </c>
      <c r="F10" s="89"/>
      <c r="G10" s="25">
        <f>C10+E10</f>
        <v>1359.9723097927269</v>
      </c>
      <c r="H10" s="95"/>
      <c r="J10" s="84"/>
      <c r="X10" s="10" t="s">
        <v>67</v>
      </c>
      <c r="Y10" s="61">
        <v>70300.13</v>
      </c>
      <c r="AM10" s="105"/>
    </row>
    <row r="11" spans="1:39">
      <c r="A11" s="91" t="s">
        <v>68</v>
      </c>
      <c r="B11" s="92" t="s">
        <v>69</v>
      </c>
      <c r="C11" s="134">
        <f>(C9+C10)*0.08</f>
        <v>570.0007724197817</v>
      </c>
      <c r="D11" s="156"/>
      <c r="E11" s="159">
        <f>(E9+E10)*0.08</f>
        <v>0</v>
      </c>
      <c r="F11" s="89"/>
      <c r="G11" s="25">
        <f t="shared" si="0"/>
        <v>570.0007724197817</v>
      </c>
      <c r="H11" s="95"/>
      <c r="J11" s="84"/>
      <c r="X11" s="62" t="s">
        <v>70</v>
      </c>
      <c r="Y11" s="366"/>
      <c r="AM11" s="105"/>
    </row>
    <row r="12" spans="1:39">
      <c r="A12" s="97" t="s">
        <v>71</v>
      </c>
      <c r="B12" s="98" t="s">
        <v>72</v>
      </c>
      <c r="C12" s="135">
        <f>(C4)*0.07</f>
        <v>3936.8072800000009</v>
      </c>
      <c r="D12" s="159"/>
      <c r="E12" s="159">
        <f>(E4)*0.07</f>
        <v>984.20182000000023</v>
      </c>
      <c r="F12" s="131"/>
      <c r="G12" s="25">
        <f t="shared" si="0"/>
        <v>4921.0091000000011</v>
      </c>
      <c r="H12" s="95"/>
      <c r="J12" s="84"/>
      <c r="AM12" s="105"/>
    </row>
    <row r="13" spans="1:39">
      <c r="A13" s="91" t="s">
        <v>73</v>
      </c>
      <c r="B13" s="92" t="s">
        <v>74</v>
      </c>
      <c r="C13" s="139">
        <f>15*3*50+14*2*50</f>
        <v>3650</v>
      </c>
      <c r="D13" s="143"/>
      <c r="E13" s="162"/>
      <c r="F13" s="133"/>
      <c r="G13" s="26">
        <f t="shared" si="0"/>
        <v>3650</v>
      </c>
      <c r="H13" s="99"/>
      <c r="J13" s="84"/>
      <c r="X13" s="64" t="s">
        <v>75</v>
      </c>
      <c r="Y13" s="65">
        <v>41</v>
      </c>
      <c r="AM13" s="105"/>
    </row>
    <row r="14" spans="1:39">
      <c r="A14" s="100" t="s">
        <v>76</v>
      </c>
      <c r="B14" s="81" t="s">
        <v>77</v>
      </c>
      <c r="C14" s="22">
        <f>248.65+2485+106.2</f>
        <v>2839.85</v>
      </c>
      <c r="D14" s="156">
        <f>C14+C16+C15</f>
        <v>6140.76</v>
      </c>
      <c r="E14" s="159">
        <f>495.19+124+18.5+282.9+104+89</f>
        <v>1113.5900000000001</v>
      </c>
      <c r="F14" s="13">
        <f>E14+E16+E15</f>
        <v>3635.2900000000004</v>
      </c>
      <c r="G14" s="9">
        <f>C14+E14</f>
        <v>3953.44</v>
      </c>
      <c r="H14" s="95">
        <f>G14+G16+G15</f>
        <v>9776.0500000000011</v>
      </c>
      <c r="J14" s="84"/>
      <c r="X14" s="66" t="s">
        <v>78</v>
      </c>
      <c r="Y14" s="66" t="s">
        <v>79</v>
      </c>
      <c r="AM14" s="105"/>
    </row>
    <row r="15" spans="1:39">
      <c r="A15" s="101" t="s">
        <v>80</v>
      </c>
      <c r="B15" s="92" t="s">
        <v>81</v>
      </c>
      <c r="C15" s="135">
        <f>335.54+36+203.2*2+30*2+22.1+819.98+278.99+207.02</f>
        <v>2166.0300000000002</v>
      </c>
      <c r="D15" s="13"/>
      <c r="E15" s="142">
        <f>255.4+236.19+438.98</f>
        <v>930.57</v>
      </c>
      <c r="F15" s="13"/>
      <c r="G15" s="9">
        <f>C15+E15</f>
        <v>3096.6000000000004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34">
        <f>195.23+125+6.5+194.67+74.41+12+3.6+56.22+367.25+100</f>
        <v>1134.8800000000001</v>
      </c>
      <c r="D16" s="13"/>
      <c r="E16" s="142">
        <f>172.24+141.39+1030+101.22+6.5+3.5+88.18+41.6+6.5</f>
        <v>1591.13</v>
      </c>
      <c r="F16" s="13"/>
      <c r="G16" s="9">
        <f t="shared" si="0"/>
        <v>2726.01</v>
      </c>
      <c r="H16" s="95"/>
      <c r="J16" s="84"/>
      <c r="X16" s="67" t="s">
        <v>85</v>
      </c>
      <c r="Y16" s="68">
        <v>12</v>
      </c>
      <c r="AM16" s="105"/>
    </row>
    <row r="17" spans="1:39">
      <c r="A17" s="85" t="s">
        <v>86</v>
      </c>
      <c r="B17" s="5" t="s">
        <v>87</v>
      </c>
      <c r="C17" s="185">
        <f>C4-C5</f>
        <v>24083.726292332954</v>
      </c>
      <c r="D17" s="129">
        <f>C17/C4</f>
        <v>0.42823047219708116</v>
      </c>
      <c r="E17" s="185">
        <f>E4-E5</f>
        <v>7834.0941800000019</v>
      </c>
      <c r="F17" s="130">
        <f>E17/E4</f>
        <v>0.55718916736000357</v>
      </c>
      <c r="G17" s="16">
        <f>G4-G5</f>
        <v>31917.820472332947</v>
      </c>
      <c r="H17" s="102">
        <f>G17/G4</f>
        <v>0.45402221122966552</v>
      </c>
      <c r="J17" s="84"/>
      <c r="AM17" s="105"/>
    </row>
    <row r="18" spans="1:39" ht="20.25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33" t="s">
        <v>88</v>
      </c>
      <c r="L18" s="534"/>
      <c r="M18" s="534"/>
      <c r="N18" s="534"/>
      <c r="O18" s="534"/>
      <c r="P18" s="534"/>
      <c r="Q18" s="534"/>
      <c r="R18" s="534"/>
      <c r="S18" s="534"/>
      <c r="T18" s="534"/>
      <c r="U18" s="535"/>
      <c r="V18" s="29"/>
      <c r="X18" s="520" t="s">
        <v>89</v>
      </c>
      <c r="Y18" s="520"/>
      <c r="AA18" s="27" t="s">
        <v>40</v>
      </c>
      <c r="AB18" s="551" t="s">
        <v>90</v>
      </c>
      <c r="AC18" s="552"/>
      <c r="AD18" s="552"/>
      <c r="AE18" s="552"/>
      <c r="AF18" s="552"/>
      <c r="AG18" s="552"/>
      <c r="AH18" s="552"/>
      <c r="AI18" s="552"/>
      <c r="AJ18" s="552"/>
      <c r="AK18" s="552"/>
      <c r="AL18" s="553"/>
      <c r="AM18" s="117"/>
    </row>
    <row r="19" spans="1:39" ht="24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188" t="s">
        <v>158</v>
      </c>
      <c r="L19" s="32" t="s">
        <v>159</v>
      </c>
      <c r="M19" s="31" t="s">
        <v>145</v>
      </c>
      <c r="N19" s="170" t="s">
        <v>146</v>
      </c>
      <c r="O19" s="32" t="s">
        <v>181</v>
      </c>
      <c r="P19" s="32"/>
      <c r="Q19" s="31"/>
      <c r="R19" s="31"/>
      <c r="S19" s="31"/>
      <c r="T19" s="31"/>
      <c r="U19" s="31"/>
      <c r="V19" s="516" t="s">
        <v>51</v>
      </c>
      <c r="X19" s="69" t="s">
        <v>52</v>
      </c>
      <c r="Y19" s="50">
        <v>7999.61</v>
      </c>
      <c r="AA19" s="30" t="s">
        <v>45</v>
      </c>
      <c r="AB19" s="188" t="s">
        <v>158</v>
      </c>
      <c r="AC19" s="32" t="s">
        <v>159</v>
      </c>
      <c r="AD19" s="31" t="s">
        <v>145</v>
      </c>
      <c r="AE19" s="170" t="s">
        <v>146</v>
      </c>
      <c r="AF19" s="32" t="s">
        <v>182</v>
      </c>
      <c r="AG19" s="32"/>
      <c r="AH19" s="31"/>
      <c r="AI19" s="31"/>
      <c r="AJ19" s="31"/>
      <c r="AK19" s="31"/>
      <c r="AL19" s="31"/>
      <c r="AM19" s="518" t="s">
        <v>51</v>
      </c>
    </row>
    <row r="20" spans="1:39">
      <c r="A20" s="108" t="s">
        <v>93</v>
      </c>
      <c r="B20" s="3">
        <f>H6/G5*100</f>
        <v>32.150853223422644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/>
      <c r="R20" s="70"/>
      <c r="S20" s="70"/>
      <c r="T20" s="70"/>
      <c r="U20" s="70"/>
      <c r="V20" s="517"/>
      <c r="X20" s="71" t="s">
        <v>55</v>
      </c>
      <c r="Y20" s="77">
        <f>G6+G7</f>
        <v>8647.17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>
        <f>H9/G5*100</f>
        <v>42.378949385372565</v>
      </c>
      <c r="C21" s="109"/>
      <c r="D21" s="109"/>
      <c r="E21" s="109"/>
      <c r="F21" s="109"/>
      <c r="H21" s="105"/>
      <c r="J21" s="125"/>
      <c r="K21" s="73">
        <f>V21/4</f>
        <v>1999.9024999999999</v>
      </c>
      <c r="L21" s="73">
        <f>K21</f>
        <v>1999.9024999999999</v>
      </c>
      <c r="M21" s="73">
        <f>K21</f>
        <v>1999.9024999999999</v>
      </c>
      <c r="N21" s="73">
        <f>V21/4</f>
        <v>1999.9024999999999</v>
      </c>
      <c r="O21" s="73"/>
      <c r="P21" s="73"/>
      <c r="Q21" s="73"/>
      <c r="R21" s="73"/>
      <c r="S21" s="73"/>
      <c r="T21" s="73"/>
      <c r="U21" s="73"/>
      <c r="V21" s="74">
        <f>Y19</f>
        <v>7999.61</v>
      </c>
      <c r="X21" s="520" t="s">
        <v>90</v>
      </c>
      <c r="Y21" s="520"/>
      <c r="AA21" s="72"/>
      <c r="AB21" s="73">
        <f>AM21/5</f>
        <v>0</v>
      </c>
      <c r="AC21" s="73">
        <f>AB21</f>
        <v>0</v>
      </c>
      <c r="AD21" s="73">
        <f>AB21</f>
        <v>0</v>
      </c>
      <c r="AE21" s="73">
        <f>AM21/5</f>
        <v>0</v>
      </c>
      <c r="AF21" s="73">
        <f>AE21</f>
        <v>0</v>
      </c>
      <c r="AG21" s="73"/>
      <c r="AH21" s="73"/>
      <c r="AI21" s="73"/>
      <c r="AJ21" s="73"/>
      <c r="AK21" s="73"/>
      <c r="AL21" s="73"/>
      <c r="AM21" s="126">
        <f>Y22</f>
        <v>0</v>
      </c>
    </row>
    <row r="22" spans="1:39">
      <c r="A22" s="111" t="s">
        <v>95</v>
      </c>
      <c r="B22" s="2">
        <f>H14/G5*100</f>
        <v>25.470197391204785</v>
      </c>
      <c r="C22" s="109"/>
      <c r="D22" s="109"/>
      <c r="E22" s="109"/>
      <c r="F22" s="109"/>
      <c r="H22" s="105"/>
      <c r="J22" s="12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63">
        <f t="shared" ref="V22" si="2">K22+L22+M22+N22+O22+P22+U22+Q22+R22+S22+T22</f>
        <v>0</v>
      </c>
      <c r="X22" s="69" t="s">
        <v>52</v>
      </c>
      <c r="Y22" s="50"/>
      <c r="AA22" s="72"/>
      <c r="AB22" s="75">
        <f>248.65+335.54+233.2*2+36+22.1+819.98+2485+106.2+207.02+320</f>
        <v>5046.8900000000003</v>
      </c>
      <c r="AC22" s="76"/>
      <c r="AD22" s="76"/>
      <c r="AE22" s="76"/>
      <c r="AF22" s="76">
        <f>495.19+124+18.5+282.9+104+438.98+89</f>
        <v>1552.5700000000002</v>
      </c>
      <c r="AG22" s="76"/>
      <c r="AH22" s="76"/>
      <c r="AI22" s="76"/>
      <c r="AJ22" s="76"/>
      <c r="AK22" s="76"/>
      <c r="AL22" s="76"/>
      <c r="AM22" s="165">
        <f t="shared" ref="AM22" si="3">AB22+AC22+AD22+AE22+AF22+AG22+AL22+AH22+AI22+AJ22+AK22</f>
        <v>6599.4600000000009</v>
      </c>
    </row>
    <row r="23" spans="1:39">
      <c r="A23" s="84"/>
      <c r="H23" s="105"/>
      <c r="J23" s="84"/>
      <c r="X23" s="71" t="s">
        <v>55</v>
      </c>
      <c r="Y23" s="77">
        <f>AM22</f>
        <v>6599.4600000000009</v>
      </c>
      <c r="AM23" s="105"/>
    </row>
    <row r="24" spans="1:39">
      <c r="A24" s="84"/>
      <c r="H24" s="105"/>
      <c r="J24" s="84"/>
      <c r="V24" s="128"/>
      <c r="AM24" s="105"/>
    </row>
    <row r="25" spans="1:39" ht="30.75" customHeight="1">
      <c r="A25" s="84"/>
      <c r="H25" s="105"/>
      <c r="J25" s="84"/>
      <c r="X25" s="10" t="s">
        <v>96</v>
      </c>
      <c r="Y25" s="145"/>
      <c r="AM25" s="105"/>
    </row>
    <row r="26" spans="1:39" ht="27.75">
      <c r="A26" s="84"/>
      <c r="H26" s="105"/>
      <c r="J26" s="84"/>
      <c r="X26" s="10" t="s">
        <v>97</v>
      </c>
      <c r="Y26" s="78"/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23">
        <v>45330</v>
      </c>
      <c r="Y31" s="524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25"/>
      <c r="Y32" s="526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7" spans="4:9">
      <c r="I37" s="1"/>
    </row>
    <row r="45" spans="4:9">
      <c r="D45" s="223"/>
      <c r="E45" s="1"/>
    </row>
  </sheetData>
  <mergeCells count="19">
    <mergeCell ref="A2:H2"/>
    <mergeCell ref="J2:AM2"/>
    <mergeCell ref="C3:D3"/>
    <mergeCell ref="E3:F3"/>
    <mergeCell ref="G3:H3"/>
    <mergeCell ref="K3:U3"/>
    <mergeCell ref="X3:Y3"/>
    <mergeCell ref="AB3:AL3"/>
    <mergeCell ref="V4:V5"/>
    <mergeCell ref="AM4:AM5"/>
    <mergeCell ref="X6:Y6"/>
    <mergeCell ref="K18:U18"/>
    <mergeCell ref="X18:Y18"/>
    <mergeCell ref="AB18:AL18"/>
    <mergeCell ref="V19:V20"/>
    <mergeCell ref="AM19:AM20"/>
    <mergeCell ref="X21:Y21"/>
    <mergeCell ref="X30:Y30"/>
    <mergeCell ref="X31:Y32"/>
  </mergeCells>
  <pageMargins left="0.7" right="0.7" top="0.75" bottom="0.75" header="0.3" footer="0.3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0F3B-F50A-46FF-8112-179BFE238088}">
  <sheetPr>
    <pageSetUpPr fitToPage="1"/>
  </sheetPr>
  <dimension ref="A1:AM55"/>
  <sheetViews>
    <sheetView workbookViewId="0">
      <selection activeCell="C9" sqref="C9"/>
    </sheetView>
  </sheetViews>
  <sheetFormatPr defaultRowHeight="15" outlineLevelCol="2"/>
  <cols>
    <col min="1" max="1" width="36.42578125" bestFit="1" customWidth="1"/>
    <col min="2" max="2" width="33.28515625" customWidth="1"/>
    <col min="3" max="4" width="10.7109375" customWidth="1"/>
    <col min="5" max="5" width="10.7109375" hidden="1" customWidth="1" outlineLevel="1"/>
    <col min="6" max="6" width="10.140625" hidden="1" customWidth="1" outlineLevel="1"/>
    <col min="7" max="7" width="10.7109375" customWidth="1" collapsed="1"/>
    <col min="8" max="8" width="10.7109375" customWidth="1"/>
    <col min="9" max="9" width="3.28515625" customWidth="1"/>
    <col min="10" max="10" width="0.5703125" hidden="1" customWidth="1" outlineLevel="1"/>
    <col min="11" max="11" width="10.7109375" hidden="1" customWidth="1" outlineLevel="1" collapsed="1"/>
    <col min="12" max="14" width="10.7109375" hidden="1" customWidth="1" outlineLevel="1"/>
    <col min="15" max="15" width="10.7109375" hidden="1" customWidth="1" outlineLevel="2"/>
    <col min="16" max="20" width="9.140625" hidden="1" customWidth="1" outlineLevel="2"/>
    <col min="21" max="21" width="2.7109375" hidden="1" customWidth="1" outlineLevel="2"/>
    <col min="22" max="22" width="9.140625" hidden="1" customWidth="1" outlineLevel="1" collapsed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hidden="1" customWidth="1" outlineLevel="1"/>
    <col min="32" max="37" width="12.7109375" hidden="1" customWidth="1" outlineLevel="1"/>
    <col min="38" max="38" width="3" hidden="1" customWidth="1" outlineLevel="1"/>
    <col min="39" max="39" width="12.7109375" customWidth="1" collapsed="1"/>
    <col min="40" max="40" width="12.7109375" customWidth="1"/>
  </cols>
  <sheetData>
    <row r="1" spans="1:39" ht="25.5" customHeight="1">
      <c r="A1" s="331" t="s">
        <v>183</v>
      </c>
      <c r="B1" s="571" t="s">
        <v>184</v>
      </c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  <c r="S1" s="571"/>
      <c r="T1" s="571"/>
      <c r="U1" s="571"/>
      <c r="V1" s="571"/>
      <c r="W1" s="571"/>
      <c r="X1" s="571"/>
      <c r="Y1" s="571"/>
      <c r="Z1" s="571"/>
      <c r="AA1" s="571"/>
      <c r="AB1" s="571"/>
      <c r="AC1" s="571"/>
      <c r="AD1" s="571"/>
      <c r="AE1" s="571"/>
      <c r="AF1" s="571"/>
      <c r="AG1" s="571"/>
      <c r="AH1" s="571"/>
      <c r="AI1" s="571"/>
      <c r="AJ1" s="571"/>
      <c r="AK1" s="571"/>
      <c r="AL1" s="571"/>
      <c r="AM1" s="571"/>
    </row>
    <row r="2" spans="1:39" ht="18.75">
      <c r="A2" s="573" t="s">
        <v>35</v>
      </c>
      <c r="B2" s="574"/>
      <c r="C2" s="574"/>
      <c r="D2" s="574"/>
      <c r="E2" s="574"/>
      <c r="F2" s="574"/>
      <c r="G2" s="574"/>
      <c r="H2" s="575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</row>
    <row r="3" spans="1:39" ht="15.75" customHeight="1">
      <c r="A3" s="84"/>
      <c r="C3" s="543" t="s">
        <v>185</v>
      </c>
      <c r="D3" s="544"/>
      <c r="E3" s="543"/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51" t="s">
        <v>20</v>
      </c>
      <c r="AC3" s="552"/>
      <c r="AD3" s="552"/>
      <c r="AE3" s="552"/>
      <c r="AF3" s="552"/>
      <c r="AG3" s="552"/>
      <c r="AH3" s="552"/>
      <c r="AI3" s="552"/>
      <c r="AJ3" s="552"/>
      <c r="AK3" s="552"/>
      <c r="AL3" s="553"/>
      <c r="AM3" s="117"/>
    </row>
    <row r="4" spans="1:39" ht="16.5" customHeight="1">
      <c r="A4" s="85" t="s">
        <v>43</v>
      </c>
      <c r="B4" s="5" t="s">
        <v>44</v>
      </c>
      <c r="C4" s="83">
        <f>Y10</f>
        <v>14005.39</v>
      </c>
      <c r="E4" s="83">
        <f>Y10/4+Y11</f>
        <v>3501.3474999999999</v>
      </c>
      <c r="G4" s="153">
        <f>Y10+Y11</f>
        <v>14005.39</v>
      </c>
      <c r="H4" s="86">
        <f>D4+F4</f>
        <v>0</v>
      </c>
      <c r="J4" s="178" t="s">
        <v>45</v>
      </c>
      <c r="K4" s="32"/>
      <c r="L4" s="31"/>
      <c r="M4" s="170"/>
      <c r="N4" s="170"/>
      <c r="O4" s="32"/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N6</f>
        <v>0</v>
      </c>
      <c r="Z4" s="116"/>
      <c r="AA4" s="30" t="s">
        <v>45</v>
      </c>
      <c r="AB4" s="32"/>
      <c r="AC4" s="31"/>
      <c r="AD4" s="170"/>
      <c r="AE4" s="170"/>
      <c r="AF4" s="32"/>
      <c r="AG4" s="32"/>
      <c r="AH4" s="32"/>
      <c r="AI4" s="32"/>
      <c r="AJ4" s="32"/>
      <c r="AK4" s="32"/>
      <c r="AL4" s="32"/>
      <c r="AM4" s="529" t="s">
        <v>51</v>
      </c>
    </row>
    <row r="5" spans="1:39">
      <c r="A5" s="85" t="s">
        <v>53</v>
      </c>
      <c r="B5" s="5" t="s">
        <v>54</v>
      </c>
      <c r="C5" s="192">
        <f>C6+C7+C8+C9+C10+C11+C13+C14+C16+C15+C12</f>
        <v>10148.253965884614</v>
      </c>
      <c r="D5" s="5"/>
      <c r="E5" s="192">
        <f>E6+E7+E8+E9+E10+E11+E13+E14+E16+E15+E12</f>
        <v>0</v>
      </c>
      <c r="F5" s="5"/>
      <c r="G5" s="154">
        <f>G6+G7+G8+G9+G10+G11+G13+G14+G16+G15+G12</f>
        <v>10148.253965884614</v>
      </c>
      <c r="H5" s="87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N7+V8</f>
        <v>0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88" t="s">
        <v>56</v>
      </c>
      <c r="B6" s="81" t="s">
        <v>57</v>
      </c>
      <c r="C6" s="22">
        <f>133.2+286.17+190.54+137.47+15.17+12.99+50.76</f>
        <v>826.3</v>
      </c>
      <c r="D6" s="13">
        <f>C6+C7+C8</f>
        <v>1811.8</v>
      </c>
      <c r="E6" s="156"/>
      <c r="F6" s="13">
        <f>E6+E7+E8</f>
        <v>0</v>
      </c>
      <c r="G6" s="9">
        <f>C6+E6</f>
        <v>826.3</v>
      </c>
      <c r="H6" s="90">
        <f>G6+G7+G8</f>
        <v>1811.8</v>
      </c>
      <c r="J6" s="180"/>
      <c r="K6" s="40"/>
      <c r="L6" s="40"/>
      <c r="M6" s="40"/>
      <c r="N6" s="40"/>
      <c r="O6" s="40"/>
      <c r="P6" s="40"/>
      <c r="Q6" s="40"/>
      <c r="R6" s="40"/>
      <c r="S6" s="40"/>
      <c r="T6" s="40"/>
      <c r="U6" s="41"/>
      <c r="V6" s="40">
        <f>N6</f>
        <v>0</v>
      </c>
      <c r="X6" s="531" t="s">
        <v>58</v>
      </c>
      <c r="Y6" s="532"/>
      <c r="AA6" s="42"/>
      <c r="AB6" s="43">
        <f>AM6/4</f>
        <v>0</v>
      </c>
      <c r="AC6" s="43">
        <f>AB6</f>
        <v>0</v>
      </c>
      <c r="AD6" s="43">
        <f>AB6</f>
        <v>0</v>
      </c>
      <c r="AE6" s="43">
        <f>AM6/4</f>
        <v>0</v>
      </c>
      <c r="AF6" s="43"/>
      <c r="AG6" s="43"/>
      <c r="AH6" s="44"/>
      <c r="AI6" s="44"/>
      <c r="AJ6" s="44"/>
      <c r="AK6" s="44"/>
      <c r="AL6" s="44"/>
      <c r="AM6" s="121"/>
    </row>
    <row r="7" spans="1:39">
      <c r="A7" s="91" t="s">
        <v>59</v>
      </c>
      <c r="B7" s="92" t="s">
        <v>60</v>
      </c>
      <c r="C7" s="134"/>
      <c r="D7" s="13"/>
      <c r="E7" s="156"/>
      <c r="F7" s="13"/>
      <c r="G7" s="9">
        <f t="shared" ref="G7:G16" si="0">C7+E7</f>
        <v>0</v>
      </c>
      <c r="H7" s="90"/>
      <c r="J7" s="181"/>
      <c r="K7" s="48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f>N7</f>
        <v>0</v>
      </c>
      <c r="X7" s="49" t="s">
        <v>52</v>
      </c>
      <c r="Y7" s="50" t="e">
        <f>AM6/Y13</f>
        <v>#DIV/0!</v>
      </c>
      <c r="AA7" s="51"/>
      <c r="AB7" s="52">
        <v>143.69999999999999</v>
      </c>
      <c r="AC7" s="53"/>
      <c r="AD7" s="53"/>
      <c r="AE7" s="53"/>
      <c r="AF7" s="53"/>
      <c r="AG7" s="53"/>
      <c r="AH7" s="54"/>
      <c r="AI7" s="54"/>
      <c r="AJ7" s="54"/>
      <c r="AK7" s="54"/>
      <c r="AL7" s="54"/>
      <c r="AM7" s="164">
        <f t="shared" ref="AM7" si="1">AB7+AC7+AD7+AE7+AF7+AG7+AL7+AH7+AI7+AJ7+AK7</f>
        <v>143.69999999999999</v>
      </c>
    </row>
    <row r="8" spans="1:39">
      <c r="A8" s="93" t="s">
        <v>61</v>
      </c>
      <c r="B8" s="82" t="s">
        <v>62</v>
      </c>
      <c r="C8" s="20">
        <f>820.5+330/2</f>
        <v>985.5</v>
      </c>
      <c r="D8" s="14"/>
      <c r="E8" s="196"/>
      <c r="F8" s="14"/>
      <c r="G8" s="9">
        <f t="shared" si="0"/>
        <v>985.5</v>
      </c>
      <c r="H8" s="95"/>
      <c r="J8" s="182"/>
      <c r="K8" s="55"/>
      <c r="L8" s="56"/>
      <c r="M8" s="55"/>
      <c r="N8" s="56"/>
      <c r="O8" s="57"/>
      <c r="P8" s="56"/>
      <c r="Q8" s="58"/>
      <c r="R8" s="58"/>
      <c r="S8" s="58"/>
      <c r="T8" s="58"/>
      <c r="U8" s="58"/>
      <c r="V8" s="56">
        <f>SUM(K8:U8)</f>
        <v>0</v>
      </c>
      <c r="X8" s="59" t="s">
        <v>55</v>
      </c>
      <c r="Y8" s="60" t="e">
        <f>AM7/Y13</f>
        <v>#DIV/0!</v>
      </c>
      <c r="AM8" s="105"/>
    </row>
    <row r="9" spans="1:39">
      <c r="A9" s="88" t="s">
        <v>63</v>
      </c>
      <c r="B9" s="81" t="s">
        <v>64</v>
      </c>
      <c r="C9" s="169">
        <f>(70+269.5+907.15/13*5+37.7*15+35.5*12-800+10*14+10*12)*1.42</f>
        <v>1618.6634615384614</v>
      </c>
      <c r="D9" s="151">
        <f>C9+C10+C11+C13+C12</f>
        <v>4990.9239658846154</v>
      </c>
      <c r="E9" s="160"/>
      <c r="F9" s="137">
        <f>E9+E10+E11+E13+E12</f>
        <v>0</v>
      </c>
      <c r="G9" s="24">
        <f t="shared" si="0"/>
        <v>1618.6634615384614</v>
      </c>
      <c r="H9" s="96">
        <f>G9+G10+G11+G13+G12</f>
        <v>4990.9239658846154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381.84271057692303</v>
      </c>
      <c r="D10" s="13"/>
      <c r="E10" s="156">
        <f>E9*0.2359</f>
        <v>0</v>
      </c>
      <c r="F10" s="89"/>
      <c r="G10" s="25">
        <f t="shared" si="0"/>
        <v>381.84271057692303</v>
      </c>
      <c r="H10" s="95"/>
      <c r="J10" s="84"/>
      <c r="X10" s="10" t="s">
        <v>67</v>
      </c>
      <c r="Y10" s="232">
        <v>14005.39</v>
      </c>
      <c r="AM10" s="105"/>
    </row>
    <row r="11" spans="1:39">
      <c r="A11" s="91" t="s">
        <v>68</v>
      </c>
      <c r="B11" s="92" t="s">
        <v>69</v>
      </c>
      <c r="C11" s="134">
        <f>(C9+C10)*0.08</f>
        <v>160.04049376923078</v>
      </c>
      <c r="D11" s="13"/>
      <c r="E11" s="156">
        <f>(E9+E10)*0.08</f>
        <v>0</v>
      </c>
      <c r="F11" s="89"/>
      <c r="G11" s="25">
        <f t="shared" si="0"/>
        <v>160.04049376923078</v>
      </c>
      <c r="H11" s="95"/>
      <c r="J11" s="84"/>
      <c r="X11" s="62" t="s">
        <v>70</v>
      </c>
      <c r="Y11" s="201"/>
      <c r="AM11" s="105"/>
    </row>
    <row r="12" spans="1:39">
      <c r="A12" s="97" t="s">
        <v>71</v>
      </c>
      <c r="B12" s="98" t="s">
        <v>72</v>
      </c>
      <c r="C12" s="135">
        <f>(C4)*0.07</f>
        <v>980.3773000000001</v>
      </c>
      <c r="D12" s="142"/>
      <c r="E12" s="159">
        <f>(E13+E11+E10+E9)*0.07</f>
        <v>0</v>
      </c>
      <c r="F12" s="131"/>
      <c r="G12" s="25">
        <f t="shared" si="0"/>
        <v>980.3773000000001</v>
      </c>
      <c r="H12" s="95"/>
      <c r="J12" s="84"/>
      <c r="AM12" s="105"/>
    </row>
    <row r="13" spans="1:39">
      <c r="A13" s="91" t="s">
        <v>73</v>
      </c>
      <c r="B13" s="92" t="s">
        <v>74</v>
      </c>
      <c r="C13" s="139">
        <f>7*5*50+100</f>
        <v>1850</v>
      </c>
      <c r="D13" s="143"/>
      <c r="E13" s="162"/>
      <c r="F13" s="133"/>
      <c r="G13" s="26">
        <f t="shared" si="0"/>
        <v>1850</v>
      </c>
      <c r="H13" s="99"/>
      <c r="J13" s="84"/>
      <c r="X13" s="64" t="s">
        <v>75</v>
      </c>
      <c r="Y13" s="65"/>
      <c r="AM13" s="105"/>
    </row>
    <row r="14" spans="1:39">
      <c r="A14" s="100" t="s">
        <v>76</v>
      </c>
      <c r="B14" s="81" t="s">
        <v>77</v>
      </c>
      <c r="C14" s="135">
        <v>1330</v>
      </c>
      <c r="D14" s="156">
        <f>C14+C16+C15</f>
        <v>3345.53</v>
      </c>
      <c r="E14" s="142"/>
      <c r="F14" s="13">
        <f>E14+E16+E15</f>
        <v>0</v>
      </c>
      <c r="G14" s="9">
        <f t="shared" si="0"/>
        <v>1330</v>
      </c>
      <c r="H14" s="95">
        <f>G14+G16+G15</f>
        <v>3345.53</v>
      </c>
      <c r="J14" s="84"/>
      <c r="X14" s="66" t="s">
        <v>78</v>
      </c>
      <c r="Y14" s="66" t="s">
        <v>79</v>
      </c>
      <c r="AM14" s="105"/>
    </row>
    <row r="15" spans="1:39">
      <c r="A15" s="101" t="s">
        <v>80</v>
      </c>
      <c r="B15" s="92" t="s">
        <v>81</v>
      </c>
      <c r="C15" s="135">
        <f>229.06+289.64+75+12.8+282.56+4.6+313.99+367.17+42+30</f>
        <v>1646.8200000000002</v>
      </c>
      <c r="D15" s="13"/>
      <c r="E15" s="142"/>
      <c r="F15" s="13"/>
      <c r="G15" s="9">
        <f t="shared" si="0"/>
        <v>1646.8200000000002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34">
        <f>40+1.8+1.8+9+30+129.13+12+12+5+2.5+17.58+20+23.7+10+24.7+8+4+4+6+7.5</f>
        <v>368.71</v>
      </c>
      <c r="D16" s="13"/>
      <c r="E16" s="13"/>
      <c r="F16" s="13"/>
      <c r="G16" s="9">
        <f t="shared" si="0"/>
        <v>368.71</v>
      </c>
      <c r="H16" s="95"/>
      <c r="J16" s="84"/>
      <c r="X16" s="67" t="s">
        <v>85</v>
      </c>
      <c r="Y16" s="68">
        <v>12</v>
      </c>
      <c r="AM16" s="105"/>
    </row>
    <row r="17" spans="1:39">
      <c r="A17" s="85" t="s">
        <v>86</v>
      </c>
      <c r="B17" s="5" t="s">
        <v>87</v>
      </c>
      <c r="C17" s="185">
        <f>C4-C5</f>
        <v>3857.136034115385</v>
      </c>
      <c r="D17" s="129">
        <f>C17/C4</f>
        <v>0.27540368630330075</v>
      </c>
      <c r="E17" s="197">
        <f>E4-E5</f>
        <v>3501.3474999999999</v>
      </c>
      <c r="F17" s="130">
        <f>E17/E4</f>
        <v>1</v>
      </c>
      <c r="G17" s="16">
        <f>G4-G5</f>
        <v>3857.136034115385</v>
      </c>
      <c r="H17" s="102">
        <f>G17/G4</f>
        <v>0.27540368630330075</v>
      </c>
      <c r="J17" s="84"/>
      <c r="AM17" s="105"/>
    </row>
    <row r="18" spans="1:39" ht="20.25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33" t="s">
        <v>88</v>
      </c>
      <c r="L18" s="534"/>
      <c r="M18" s="534"/>
      <c r="N18" s="534"/>
      <c r="O18" s="534"/>
      <c r="P18" s="534"/>
      <c r="Q18" s="534"/>
      <c r="R18" s="534"/>
      <c r="S18" s="534"/>
      <c r="T18" s="534"/>
      <c r="U18" s="535"/>
      <c r="V18" s="29"/>
      <c r="X18" s="520" t="s">
        <v>89</v>
      </c>
      <c r="Y18" s="520"/>
      <c r="AA18" s="27" t="s">
        <v>40</v>
      </c>
      <c r="AB18" s="551" t="s">
        <v>90</v>
      </c>
      <c r="AC18" s="552"/>
      <c r="AD18" s="552"/>
      <c r="AE18" s="552"/>
      <c r="AF18" s="552"/>
      <c r="AG18" s="552"/>
      <c r="AH18" s="552"/>
      <c r="AI18" s="552"/>
      <c r="AJ18" s="552"/>
      <c r="AK18" s="552"/>
      <c r="AL18" s="553"/>
      <c r="AM18" s="117"/>
    </row>
    <row r="19" spans="1:39" ht="24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32"/>
      <c r="L19" s="31"/>
      <c r="M19" s="170"/>
      <c r="N19" s="170"/>
      <c r="O19" s="32"/>
      <c r="P19" s="32"/>
      <c r="Q19" s="31"/>
      <c r="R19" s="31"/>
      <c r="S19" s="31"/>
      <c r="T19" s="31"/>
      <c r="U19" s="31"/>
      <c r="V19" s="516" t="s">
        <v>51</v>
      </c>
      <c r="X19" s="69" t="s">
        <v>52</v>
      </c>
      <c r="Y19" s="50"/>
      <c r="AA19" s="30" t="s">
        <v>45</v>
      </c>
      <c r="AB19" s="32"/>
      <c r="AC19" s="31"/>
      <c r="AD19" s="170"/>
      <c r="AE19" s="170"/>
      <c r="AF19" s="32"/>
      <c r="AG19" s="32"/>
      <c r="AH19" s="31"/>
      <c r="AI19" s="31"/>
      <c r="AJ19" s="31"/>
      <c r="AK19" s="31"/>
      <c r="AL19" s="31"/>
      <c r="AM19" s="518" t="s">
        <v>51</v>
      </c>
    </row>
    <row r="20" spans="1:39">
      <c r="A20" s="108" t="s">
        <v>93</v>
      </c>
      <c r="B20" s="3">
        <f>H6/G5*100</f>
        <v>17.853317487823304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/>
      <c r="R20" s="70"/>
      <c r="S20" s="70"/>
      <c r="T20" s="70"/>
      <c r="U20" s="70"/>
      <c r="V20" s="517"/>
      <c r="X20" s="71" t="s">
        <v>55</v>
      </c>
      <c r="Y20" s="60">
        <f>V22</f>
        <v>0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>
        <f>H9/G5*100</f>
        <v>49.180124804351607</v>
      </c>
      <c r="C21" s="109"/>
      <c r="D21" s="109"/>
      <c r="E21" s="109"/>
      <c r="F21" s="109"/>
      <c r="H21" s="105"/>
      <c r="J21" s="125"/>
      <c r="K21" s="73">
        <f>V21/4</f>
        <v>0</v>
      </c>
      <c r="L21" s="73">
        <f>K21</f>
        <v>0</v>
      </c>
      <c r="M21" s="73">
        <f>K21</f>
        <v>0</v>
      </c>
      <c r="N21" s="73">
        <f>V21/4</f>
        <v>0</v>
      </c>
      <c r="O21" s="73"/>
      <c r="P21" s="73"/>
      <c r="Q21" s="73"/>
      <c r="R21" s="73"/>
      <c r="S21" s="73"/>
      <c r="T21" s="73"/>
      <c r="U21" s="73"/>
      <c r="V21" s="74">
        <f>Y19</f>
        <v>0</v>
      </c>
      <c r="X21" s="520" t="s">
        <v>90</v>
      </c>
      <c r="Y21" s="520"/>
      <c r="AA21" s="72"/>
      <c r="AB21" s="73">
        <f>AM21/4</f>
        <v>0</v>
      </c>
      <c r="AC21" s="73">
        <f>AB21</f>
        <v>0</v>
      </c>
      <c r="AD21" s="73">
        <f>AB21</f>
        <v>0</v>
      </c>
      <c r="AE21" s="73">
        <f>AM21/4</f>
        <v>0</v>
      </c>
      <c r="AF21" s="73"/>
      <c r="AG21" s="73"/>
      <c r="AH21" s="73"/>
      <c r="AI21" s="73"/>
      <c r="AJ21" s="73"/>
      <c r="AK21" s="73"/>
      <c r="AL21" s="73"/>
      <c r="AM21" s="126">
        <f>Y22</f>
        <v>0</v>
      </c>
    </row>
    <row r="22" spans="1:39">
      <c r="A22" s="111" t="s">
        <v>95</v>
      </c>
      <c r="B22" s="2">
        <f>H14/G5*100</f>
        <v>32.966557707825096</v>
      </c>
      <c r="C22" s="109"/>
      <c r="D22" s="109"/>
      <c r="E22" s="109"/>
      <c r="F22" s="109"/>
      <c r="H22" s="105"/>
      <c r="J22" s="12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63">
        <f t="shared" ref="V22" si="2">K22+L22+M22+N22+O22+P22+U22+Q22+R22+S22+T22</f>
        <v>0</v>
      </c>
      <c r="X22" s="69" t="s">
        <v>52</v>
      </c>
      <c r="Y22" s="50"/>
      <c r="AA22" s="72"/>
      <c r="AB22" s="75">
        <f>G15+G14</f>
        <v>2976.82</v>
      </c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165">
        <f t="shared" ref="AM22" si="3">AB22+AC22+AD22+AE22+AF22+AG22+AL22+AH22+AI22+AJ22+AK22</f>
        <v>2976.82</v>
      </c>
    </row>
    <row r="23" spans="1:39">
      <c r="A23" s="84"/>
      <c r="H23" s="105"/>
      <c r="J23" s="84"/>
      <c r="X23" s="71" t="s">
        <v>55</v>
      </c>
      <c r="Y23" s="60">
        <f>AM22</f>
        <v>2976.82</v>
      </c>
      <c r="AM23" s="105"/>
    </row>
    <row r="24" spans="1:39">
      <c r="A24" s="84"/>
      <c r="H24" s="105"/>
      <c r="J24" s="84"/>
      <c r="V24" s="128"/>
      <c r="AM24" s="105"/>
    </row>
    <row r="25" spans="1:39" ht="27" customHeight="1">
      <c r="A25" s="84"/>
      <c r="H25" s="105"/>
      <c r="J25" s="84"/>
      <c r="X25" s="10" t="s">
        <v>96</v>
      </c>
      <c r="Y25" s="145"/>
      <c r="AM25" s="105"/>
    </row>
    <row r="26" spans="1:39" ht="27.75">
      <c r="A26" s="84"/>
      <c r="B26" s="1"/>
      <c r="H26" s="105"/>
      <c r="J26" s="84"/>
      <c r="X26" s="10" t="s">
        <v>97</v>
      </c>
      <c r="Y26" s="145"/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23">
        <v>45211</v>
      </c>
      <c r="Y31" s="524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25"/>
      <c r="Y32" s="526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7" spans="1:9">
      <c r="I37" s="1"/>
    </row>
    <row r="47" spans="1:9">
      <c r="A47" s="572" t="s">
        <v>186</v>
      </c>
      <c r="B47" s="572"/>
    </row>
    <row r="48" spans="1:9">
      <c r="A48" t="s">
        <v>187</v>
      </c>
      <c r="B48">
        <v>361.48</v>
      </c>
    </row>
    <row r="49" spans="1:2">
      <c r="A49" t="s">
        <v>188</v>
      </c>
      <c r="B49">
        <v>116.95</v>
      </c>
    </row>
    <row r="50" spans="1:2">
      <c r="A50" t="s">
        <v>189</v>
      </c>
      <c r="B50">
        <v>51.99</v>
      </c>
    </row>
    <row r="51" spans="1:2">
      <c r="A51" t="s">
        <v>190</v>
      </c>
      <c r="B51">
        <v>288.98</v>
      </c>
    </row>
    <row r="52" spans="1:2">
      <c r="A52" t="s">
        <v>191</v>
      </c>
      <c r="B52">
        <v>142</v>
      </c>
    </row>
    <row r="53" spans="1:2">
      <c r="A53" t="s">
        <v>192</v>
      </c>
    </row>
    <row r="54" spans="1:2">
      <c r="A54" t="s">
        <v>193</v>
      </c>
    </row>
    <row r="55" spans="1:2">
      <c r="B55">
        <f>SUM(B48:B54)</f>
        <v>961.4</v>
      </c>
    </row>
  </sheetData>
  <mergeCells count="21">
    <mergeCell ref="B1:AM1"/>
    <mergeCell ref="A47:B47"/>
    <mergeCell ref="A2:H2"/>
    <mergeCell ref="J2:AM2"/>
    <mergeCell ref="C3:D3"/>
    <mergeCell ref="E3:F3"/>
    <mergeCell ref="G3:H3"/>
    <mergeCell ref="K3:U3"/>
    <mergeCell ref="X3:Y3"/>
    <mergeCell ref="AB3:AL3"/>
    <mergeCell ref="V4:V5"/>
    <mergeCell ref="AM4:AM5"/>
    <mergeCell ref="X6:Y6"/>
    <mergeCell ref="K18:U18"/>
    <mergeCell ref="X18:Y18"/>
    <mergeCell ref="AB18:AL18"/>
    <mergeCell ref="V19:V20"/>
    <mergeCell ref="AM19:AM20"/>
    <mergeCell ref="X21:Y21"/>
    <mergeCell ref="X30:Y30"/>
    <mergeCell ref="X31:Y32"/>
  </mergeCells>
  <pageMargins left="0.7" right="0.7" top="0.75" bottom="0.75" header="0.3" footer="0.3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F7A8-953F-4319-9AE9-D46CF4E5B5BA}">
  <sheetPr>
    <pageSetUpPr fitToPage="1"/>
  </sheetPr>
  <dimension ref="A1:AO81"/>
  <sheetViews>
    <sheetView workbookViewId="0">
      <selection activeCell="A36" sqref="A36"/>
    </sheetView>
  </sheetViews>
  <sheetFormatPr defaultRowHeight="15" outlineLevelCol="2"/>
  <cols>
    <col min="1" max="1" width="36.42578125" bestFit="1" customWidth="1"/>
    <col min="2" max="2" width="30.140625" bestFit="1" customWidth="1"/>
    <col min="3" max="4" width="10.7109375" customWidth="1"/>
    <col min="5" max="5" width="12.5703125" customWidth="1" outlineLevel="1"/>
    <col min="6" max="6" width="10.7109375" customWidth="1" outlineLevel="1"/>
    <col min="7" max="8" width="10.7109375" customWidth="1"/>
    <col min="9" max="9" width="3.28515625" customWidth="1"/>
    <col min="10" max="10" width="0.5703125" hidden="1" customWidth="1" outlineLevel="1"/>
    <col min="11" max="11" width="10.7109375" hidden="1" customWidth="1" outlineLevel="1" collapsed="1"/>
    <col min="12" max="13" width="10.7109375" hidden="1" customWidth="1" outlineLevel="1"/>
    <col min="14" max="15" width="10.7109375" hidden="1" customWidth="1" outlineLevel="2"/>
    <col min="16" max="20" width="9.140625" hidden="1" customWidth="1" outlineLevel="2"/>
    <col min="21" max="21" width="1.42578125" hidden="1" customWidth="1" outlineLevel="2"/>
    <col min="22" max="22" width="9.140625" hidden="1" customWidth="1" outlineLevel="1" collapsed="1"/>
    <col min="23" max="23" width="3" hidden="1" customWidth="1" outlineLevel="1"/>
    <col min="24" max="24" width="19.5703125" customWidth="1" collapsed="1"/>
    <col min="25" max="25" width="16.28515625" customWidth="1"/>
    <col min="26" max="26" width="2.85546875" customWidth="1"/>
    <col min="27" max="27" width="20.7109375" hidden="1" customWidth="1" outlineLevel="1"/>
    <col min="28" max="28" width="10.7109375" hidden="1" customWidth="1" outlineLevel="1" collapsed="1"/>
    <col min="29" max="31" width="10.7109375" hidden="1" customWidth="1" outlineLevel="1"/>
    <col min="32" max="39" width="12.7109375" hidden="1" customWidth="1" outlineLevel="1"/>
    <col min="40" max="40" width="12.7109375" customWidth="1" collapsed="1"/>
    <col min="41" max="41" width="11.140625" customWidth="1"/>
  </cols>
  <sheetData>
    <row r="1" spans="1:41" ht="25.5" customHeight="1">
      <c r="A1" s="237" t="s">
        <v>194</v>
      </c>
      <c r="B1" s="237"/>
      <c r="C1" s="237" t="s">
        <v>195</v>
      </c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</row>
    <row r="2" spans="1:41" ht="18.75">
      <c r="A2" s="537" t="s">
        <v>35</v>
      </c>
      <c r="B2" s="538"/>
      <c r="C2" s="538"/>
      <c r="D2" s="538"/>
      <c r="E2" s="538"/>
      <c r="F2" s="538"/>
      <c r="G2" s="538"/>
      <c r="H2" s="539"/>
      <c r="I2" s="7"/>
      <c r="J2" s="540" t="s">
        <v>36</v>
      </c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2"/>
    </row>
    <row r="3" spans="1:41" ht="15.75" customHeight="1">
      <c r="A3" s="84"/>
      <c r="C3" s="543" t="s">
        <v>185</v>
      </c>
      <c r="D3" s="544"/>
      <c r="E3" s="543" t="s">
        <v>196</v>
      </c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41" ht="16.5" customHeight="1">
      <c r="A4" s="85" t="s">
        <v>43</v>
      </c>
      <c r="B4" s="5" t="s">
        <v>44</v>
      </c>
      <c r="C4" s="83">
        <f>G4/2</f>
        <v>125557.59</v>
      </c>
      <c r="E4" s="83">
        <f>G4/2</f>
        <v>125557.59</v>
      </c>
      <c r="G4" s="153">
        <f>Y10+Y11</f>
        <v>251115.18</v>
      </c>
      <c r="H4" s="86"/>
      <c r="J4" s="178" t="s">
        <v>45</v>
      </c>
      <c r="K4" s="188"/>
      <c r="L4" s="32"/>
      <c r="M4" s="31"/>
      <c r="N4" s="170"/>
      <c r="O4" s="32"/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N6</f>
        <v>0</v>
      </c>
      <c r="Z4" s="116"/>
      <c r="AA4" s="30" t="s">
        <v>45</v>
      </c>
      <c r="AB4" s="188" t="s">
        <v>197</v>
      </c>
      <c r="AC4" s="32" t="s">
        <v>198</v>
      </c>
      <c r="AD4" s="31" t="s">
        <v>199</v>
      </c>
      <c r="AE4" s="170" t="s">
        <v>200</v>
      </c>
      <c r="AF4" s="32" t="s">
        <v>201</v>
      </c>
      <c r="AG4" s="32" t="s">
        <v>202</v>
      </c>
      <c r="AH4" s="32"/>
      <c r="AI4" s="32"/>
      <c r="AJ4" s="32"/>
      <c r="AK4" s="32"/>
      <c r="AL4" s="32"/>
      <c r="AM4" s="529" t="s">
        <v>51</v>
      </c>
    </row>
    <row r="5" spans="1:41">
      <c r="A5" s="85" t="s">
        <v>53</v>
      </c>
      <c r="B5" s="5" t="s">
        <v>54</v>
      </c>
      <c r="C5" s="192">
        <f>C6+C7+C8+C9+C10+C11+C13+C14+C16+C15+C12</f>
        <v>65105.857414159997</v>
      </c>
      <c r="D5" s="5"/>
      <c r="E5" s="192">
        <f>E6+E7+E8+E9+E10+E11+E13+E14+E16+E15+E12</f>
        <v>158126.69164840001</v>
      </c>
      <c r="F5" s="5"/>
      <c r="G5" s="154">
        <f>G6+G7+G8+G9+G10+G11+G13+G14+G16+G15+G12+G17</f>
        <v>223232.54906255999</v>
      </c>
      <c r="H5" s="87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N7+V8</f>
        <v>0.11293147309359405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41">
      <c r="A6" s="88" t="s">
        <v>56</v>
      </c>
      <c r="B6" s="81" t="s">
        <v>57</v>
      </c>
      <c r="C6" s="19">
        <f>6504.2+5124.83+6406.31+446.74+491.9+780.1</f>
        <v>19754.080000000002</v>
      </c>
      <c r="D6" s="13">
        <f>C6+C7+C8</f>
        <v>46504.08</v>
      </c>
      <c r="E6" s="142">
        <v>-728.15</v>
      </c>
      <c r="F6" s="13">
        <f>E6+E7+E8</f>
        <v>136679.26</v>
      </c>
      <c r="G6" s="9">
        <f>C6+E6</f>
        <v>19025.93</v>
      </c>
      <c r="H6" s="90">
        <f>G6+G7+G8</f>
        <v>183183.34</v>
      </c>
      <c r="J6" s="180"/>
      <c r="K6" s="40">
        <v>0.33</v>
      </c>
      <c r="L6" s="40">
        <v>0.66</v>
      </c>
      <c r="M6" s="40">
        <v>1</v>
      </c>
      <c r="N6" s="40"/>
      <c r="O6" s="40"/>
      <c r="P6" s="40"/>
      <c r="Q6" s="40"/>
      <c r="R6" s="40"/>
      <c r="S6" s="40"/>
      <c r="T6" s="40"/>
      <c r="U6" s="41"/>
      <c r="V6" s="40">
        <f>M6</f>
        <v>1</v>
      </c>
      <c r="X6" s="531" t="s">
        <v>58</v>
      </c>
      <c r="Y6" s="532"/>
      <c r="AA6" s="42"/>
      <c r="AB6" s="43">
        <f>AM6/6</f>
        <v>0</v>
      </c>
      <c r="AC6" s="43">
        <f>AB6</f>
        <v>0</v>
      </c>
      <c r="AD6" s="43">
        <f>AB6</f>
        <v>0</v>
      </c>
      <c r="AE6" s="43">
        <f>AM6/4</f>
        <v>0</v>
      </c>
      <c r="AF6" s="43">
        <f>AB6</f>
        <v>0</v>
      </c>
      <c r="AG6" s="43">
        <f>AB6</f>
        <v>0</v>
      </c>
      <c r="AH6" s="44"/>
      <c r="AI6" s="44"/>
      <c r="AJ6" s="44"/>
      <c r="AK6" s="44"/>
      <c r="AL6" s="44"/>
      <c r="AM6" s="121"/>
    </row>
    <row r="7" spans="1:41">
      <c r="A7" s="91" t="s">
        <v>59</v>
      </c>
      <c r="B7" s="92" t="s">
        <v>60</v>
      </c>
      <c r="C7" s="134"/>
      <c r="D7" s="13"/>
      <c r="E7" s="156">
        <f>480+620+250</f>
        <v>1350</v>
      </c>
      <c r="F7" s="13"/>
      <c r="G7" s="9">
        <f t="shared" ref="G7:G16" si="0">C7+E7</f>
        <v>1350</v>
      </c>
      <c r="H7" s="90"/>
      <c r="J7" s="181"/>
      <c r="K7" s="48">
        <v>0.33</v>
      </c>
      <c r="L7" s="46">
        <v>0.66</v>
      </c>
      <c r="M7" s="46">
        <v>1</v>
      </c>
      <c r="N7" s="46"/>
      <c r="O7" s="46"/>
      <c r="P7" s="46"/>
      <c r="Q7" s="46"/>
      <c r="R7" s="46"/>
      <c r="S7" s="46"/>
      <c r="T7" s="46"/>
      <c r="U7" s="47"/>
      <c r="V7" s="48">
        <f>M7</f>
        <v>1</v>
      </c>
      <c r="X7" s="49" t="s">
        <v>52</v>
      </c>
      <c r="Y7" s="50" t="e">
        <f>AM6/Y13</f>
        <v>#DIV/0!</v>
      </c>
      <c r="AA7" s="51"/>
      <c r="AB7" s="199"/>
      <c r="AC7" s="53"/>
      <c r="AD7" s="53"/>
      <c r="AE7" s="53"/>
      <c r="AF7" s="53"/>
      <c r="AG7" s="53"/>
      <c r="AH7" s="54"/>
      <c r="AI7" s="54"/>
      <c r="AJ7" s="54"/>
      <c r="AK7" s="54"/>
      <c r="AL7" s="54"/>
      <c r="AM7" s="167">
        <f t="shared" ref="AM7" si="1">AB7+AC7+AD7+AE7+AF7+AG7+AL7+AH7+AI7+AJ7+AK7</f>
        <v>0</v>
      </c>
    </row>
    <row r="8" spans="1:41">
      <c r="A8" s="93" t="s">
        <v>61</v>
      </c>
      <c r="B8" s="82" t="s">
        <v>62</v>
      </c>
      <c r="C8" s="20">
        <f>24000+2750</f>
        <v>26750</v>
      </c>
      <c r="D8" s="14"/>
      <c r="E8" s="494">
        <f>4033.78-2750+696.31+4378.05+18632.74+1200+3976.39+129890.14-24000</f>
        <v>136057.41</v>
      </c>
      <c r="F8" s="14"/>
      <c r="G8" s="9">
        <f t="shared" si="0"/>
        <v>162807.41</v>
      </c>
      <c r="H8" s="95"/>
      <c r="J8" s="182"/>
      <c r="K8" s="55"/>
      <c r="L8" s="55"/>
      <c r="M8" s="214">
        <f>Y11/Y10</f>
        <v>0.11293147309359405</v>
      </c>
      <c r="N8" s="56"/>
      <c r="O8" s="57"/>
      <c r="P8" s="56"/>
      <c r="Q8" s="58"/>
      <c r="R8" s="58"/>
      <c r="S8" s="58"/>
      <c r="T8" s="58"/>
      <c r="U8" s="58"/>
      <c r="V8" s="56">
        <f>SUM(K8:U8)</f>
        <v>0.11293147309359405</v>
      </c>
      <c r="X8" s="59" t="s">
        <v>55</v>
      </c>
      <c r="Y8" s="218" t="e">
        <f>AM7/Y13</f>
        <v>#DIV/0!</v>
      </c>
      <c r="AM8" s="105"/>
    </row>
    <row r="9" spans="1:41">
      <c r="A9" s="88" t="s">
        <v>63</v>
      </c>
      <c r="B9" s="81" t="s">
        <v>64</v>
      </c>
      <c r="C9" s="138">
        <f>2209*1.42</f>
        <v>3136.7799999999997</v>
      </c>
      <c r="D9" s="151">
        <f>C9+C10+C11+C13+C12</f>
        <v>14475.917414160001</v>
      </c>
      <c r="E9" s="160">
        <f>1114.7</f>
        <v>1114.7</v>
      </c>
      <c r="F9" s="137">
        <f>E9+E10+E11+E13+E12</f>
        <v>10776.9016484</v>
      </c>
      <c r="G9" s="24">
        <f t="shared" si="0"/>
        <v>4251.4799999999996</v>
      </c>
      <c r="H9" s="96">
        <f>G9+G10+G11+G13+G12</f>
        <v>25252.81906256</v>
      </c>
      <c r="J9" s="84"/>
      <c r="AM9" s="105"/>
      <c r="AO9" s="1"/>
    </row>
    <row r="10" spans="1:41">
      <c r="A10" s="91" t="s">
        <v>65</v>
      </c>
      <c r="B10" s="92" t="s">
        <v>66</v>
      </c>
      <c r="C10" s="134">
        <f>C9*0.2359</f>
        <v>739.9664019999999</v>
      </c>
      <c r="D10" s="13"/>
      <c r="E10" s="156">
        <f>E9*0.2359</f>
        <v>262.95773000000003</v>
      </c>
      <c r="F10" s="89"/>
      <c r="G10" s="25">
        <f t="shared" si="0"/>
        <v>1002.9241319999999</v>
      </c>
      <c r="H10" s="95"/>
      <c r="J10" s="84"/>
      <c r="X10" s="10" t="s">
        <v>67</v>
      </c>
      <c r="Y10" s="61">
        <v>225634</v>
      </c>
      <c r="AM10" s="105"/>
      <c r="AN10" s="1"/>
    </row>
    <row r="11" spans="1:41" ht="30.75">
      <c r="A11" s="91" t="s">
        <v>68</v>
      </c>
      <c r="B11" s="92" t="s">
        <v>69</v>
      </c>
      <c r="C11" s="134">
        <f>(C9+C10)*0.08</f>
        <v>310.13971215999999</v>
      </c>
      <c r="D11" s="13"/>
      <c r="E11" s="156">
        <f>(E9+E10)*0.08</f>
        <v>110.21261840000001</v>
      </c>
      <c r="F11" s="89"/>
      <c r="G11" s="25">
        <f t="shared" si="0"/>
        <v>420.35233055999998</v>
      </c>
      <c r="H11" s="95"/>
      <c r="J11" s="84"/>
      <c r="X11" s="62" t="s">
        <v>70</v>
      </c>
      <c r="Y11" s="366">
        <f>15000+6974.65+3506.53</f>
        <v>25481.18</v>
      </c>
      <c r="AM11" s="105"/>
    </row>
    <row r="12" spans="1:41">
      <c r="A12" s="97" t="s">
        <v>71</v>
      </c>
      <c r="B12" s="98" t="s">
        <v>72</v>
      </c>
      <c r="C12" s="135">
        <f>(C4)*0.07</f>
        <v>8789.0313000000006</v>
      </c>
      <c r="D12" s="142"/>
      <c r="E12" s="159">
        <f>(E4)*0.07</f>
        <v>8789.0313000000006</v>
      </c>
      <c r="F12" s="131"/>
      <c r="G12" s="25">
        <f t="shared" si="0"/>
        <v>17578.062600000001</v>
      </c>
      <c r="H12" s="95"/>
      <c r="J12" s="84"/>
      <c r="AM12" s="105"/>
    </row>
    <row r="13" spans="1:41">
      <c r="A13" s="91" t="s">
        <v>73</v>
      </c>
      <c r="B13" s="92" t="s">
        <v>74</v>
      </c>
      <c r="C13" s="139">
        <f>15*2*50</f>
        <v>1500</v>
      </c>
      <c r="D13" s="143"/>
      <c r="E13" s="162">
        <f>300+200</f>
        <v>500</v>
      </c>
      <c r="F13" s="133"/>
      <c r="G13" s="26">
        <f t="shared" si="0"/>
        <v>2000</v>
      </c>
      <c r="H13" s="99"/>
      <c r="J13" s="84"/>
      <c r="X13" s="64" t="s">
        <v>75</v>
      </c>
      <c r="Y13" s="65"/>
      <c r="AM13" s="105"/>
    </row>
    <row r="14" spans="1:41" ht="30.75">
      <c r="A14" s="100" t="s">
        <v>76</v>
      </c>
      <c r="B14" s="81" t="s">
        <v>77</v>
      </c>
      <c r="C14" s="135">
        <f>379.8+789.13+251.2</f>
        <v>1420.13</v>
      </c>
      <c r="D14" s="13">
        <f>C14+C16+C15</f>
        <v>4125.8599999999997</v>
      </c>
      <c r="E14" s="142"/>
      <c r="F14" s="13">
        <f>E14+E16+E15</f>
        <v>10670.53</v>
      </c>
      <c r="G14" s="9">
        <f t="shared" si="0"/>
        <v>1420.13</v>
      </c>
      <c r="H14" s="95">
        <f>G14+G16+G15+G17</f>
        <v>14796.39</v>
      </c>
      <c r="J14" s="84"/>
      <c r="X14" s="66" t="s">
        <v>78</v>
      </c>
      <c r="Y14" s="66" t="s">
        <v>79</v>
      </c>
      <c r="AM14" s="105"/>
    </row>
    <row r="15" spans="1:41">
      <c r="A15" s="101" t="s">
        <v>80</v>
      </c>
      <c r="B15" s="92" t="s">
        <v>81</v>
      </c>
      <c r="C15" s="135">
        <f>102+578.98+258.99+167.99+387.98+222.55+60</f>
        <v>1778.49</v>
      </c>
      <c r="D15" s="13"/>
      <c r="E15" s="142">
        <f>387.98+222.55+30+30</f>
        <v>670.53</v>
      </c>
      <c r="F15" s="13"/>
      <c r="G15" s="9">
        <f t="shared" si="0"/>
        <v>2449.02</v>
      </c>
      <c r="H15" s="95"/>
      <c r="J15" s="84"/>
      <c r="X15" s="67" t="s">
        <v>82</v>
      </c>
      <c r="Y15" s="68">
        <v>13</v>
      </c>
      <c r="AM15" s="105"/>
    </row>
    <row r="16" spans="1:41">
      <c r="A16" s="91" t="s">
        <v>83</v>
      </c>
      <c r="B16" s="92" t="s">
        <v>84</v>
      </c>
      <c r="C16" s="19">
        <f>27.99+47.11+644.14+208</f>
        <v>927.24</v>
      </c>
      <c r="D16" s="13"/>
      <c r="E16" s="13">
        <v>10000</v>
      </c>
      <c r="F16" s="13"/>
      <c r="G16" s="9">
        <f t="shared" si="0"/>
        <v>10927.24</v>
      </c>
      <c r="H16" s="95"/>
      <c r="J16" s="84"/>
      <c r="X16" s="67" t="s">
        <v>85</v>
      </c>
      <c r="Y16" s="68">
        <v>12</v>
      </c>
      <c r="AM16" s="105"/>
    </row>
    <row r="17" spans="1:39">
      <c r="A17" s="91"/>
      <c r="B17" s="92"/>
      <c r="C17" s="19"/>
      <c r="D17" s="89"/>
      <c r="E17" s="19"/>
      <c r="F17" s="13"/>
      <c r="G17" s="9"/>
      <c r="H17" s="95"/>
      <c r="J17" s="84"/>
      <c r="X17" s="202"/>
      <c r="Y17" s="203"/>
      <c r="AM17" s="105"/>
    </row>
    <row r="18" spans="1:39">
      <c r="A18" s="85" t="s">
        <v>86</v>
      </c>
      <c r="B18" s="5" t="s">
        <v>87</v>
      </c>
      <c r="C18" s="185">
        <f>C4-C5</f>
        <v>60451.73258584</v>
      </c>
      <c r="D18" s="129">
        <f>C18/C4</f>
        <v>0.48146617489105997</v>
      </c>
      <c r="E18" s="197">
        <f>E4-E5</f>
        <v>-32569.101648400014</v>
      </c>
      <c r="F18" s="130">
        <f>E18/E4</f>
        <v>-0.25939572150437112</v>
      </c>
      <c r="G18" s="16">
        <f>G4-G5</f>
        <v>27882.630937440001</v>
      </c>
      <c r="H18" s="102">
        <f>G18/G4</f>
        <v>0.11103522669334447</v>
      </c>
      <c r="J18" s="84"/>
      <c r="AM18" s="105"/>
    </row>
    <row r="19" spans="1:39" ht="20.25" customHeight="1">
      <c r="A19" s="103"/>
      <c r="B19" s="104"/>
      <c r="C19" s="104"/>
      <c r="D19" s="104"/>
      <c r="E19" s="104"/>
      <c r="F19" s="104"/>
      <c r="H19" s="105"/>
      <c r="J19" s="115" t="s">
        <v>40</v>
      </c>
      <c r="K19" s="533" t="s">
        <v>88</v>
      </c>
      <c r="L19" s="534"/>
      <c r="M19" s="534"/>
      <c r="N19" s="534"/>
      <c r="O19" s="534"/>
      <c r="P19" s="534"/>
      <c r="Q19" s="534"/>
      <c r="R19" s="534"/>
      <c r="S19" s="534"/>
      <c r="T19" s="534"/>
      <c r="U19" s="535"/>
      <c r="V19" s="29"/>
      <c r="X19" s="520" t="s">
        <v>89</v>
      </c>
      <c r="Y19" s="520"/>
      <c r="AA19" s="27" t="s">
        <v>40</v>
      </c>
      <c r="AB19" s="533" t="s">
        <v>90</v>
      </c>
      <c r="AC19" s="534"/>
      <c r="AD19" s="534"/>
      <c r="AE19" s="534"/>
      <c r="AF19" s="534"/>
      <c r="AG19" s="534"/>
      <c r="AH19" s="534"/>
      <c r="AI19" s="534"/>
      <c r="AJ19" s="534"/>
      <c r="AK19" s="534"/>
      <c r="AL19" s="535"/>
      <c r="AM19" s="117"/>
    </row>
    <row r="20" spans="1:39" ht="24" customHeight="1">
      <c r="A20" s="106" t="s">
        <v>91</v>
      </c>
      <c r="B20" s="4" t="s">
        <v>92</v>
      </c>
      <c r="C20" s="107"/>
      <c r="D20" s="107"/>
      <c r="E20" s="107"/>
      <c r="F20" s="107"/>
      <c r="H20" s="105"/>
      <c r="J20" s="118" t="s">
        <v>45</v>
      </c>
      <c r="K20" s="188"/>
      <c r="L20" s="32"/>
      <c r="M20" s="31">
        <f>M4</f>
        <v>0</v>
      </c>
      <c r="N20" s="170">
        <v>44718</v>
      </c>
      <c r="O20" s="32"/>
      <c r="P20" s="32"/>
      <c r="Q20" s="31"/>
      <c r="R20" s="31"/>
      <c r="S20" s="31"/>
      <c r="T20" s="31"/>
      <c r="U20" s="31"/>
      <c r="V20" s="516" t="s">
        <v>51</v>
      </c>
      <c r="X20" s="69" t="s">
        <v>52</v>
      </c>
      <c r="Y20" s="50">
        <f ca="1">V22</f>
        <v>0</v>
      </c>
      <c r="AA20" s="30" t="s">
        <v>45</v>
      </c>
      <c r="AB20" s="188" t="s">
        <v>197</v>
      </c>
      <c r="AC20" s="32" t="s">
        <v>198</v>
      </c>
      <c r="AD20" s="31" t="s">
        <v>199</v>
      </c>
      <c r="AE20" s="170" t="s">
        <v>200</v>
      </c>
      <c r="AF20" s="32" t="s">
        <v>201</v>
      </c>
      <c r="AG20" s="32" t="s">
        <v>202</v>
      </c>
      <c r="AH20" s="31"/>
      <c r="AI20" s="31"/>
      <c r="AJ20" s="31"/>
      <c r="AK20" s="31"/>
      <c r="AL20" s="31"/>
      <c r="AM20" s="518" t="s">
        <v>51</v>
      </c>
    </row>
    <row r="21" spans="1:39">
      <c r="A21" s="108" t="s">
        <v>93</v>
      </c>
      <c r="B21" s="3">
        <f>H6/G5*100</f>
        <v>82.059422234462602</v>
      </c>
      <c r="C21" s="109"/>
      <c r="D21" s="109"/>
      <c r="E21" s="109"/>
      <c r="F21" s="109"/>
      <c r="H21" s="105"/>
      <c r="J21" s="118"/>
      <c r="K21" s="70">
        <v>1</v>
      </c>
      <c r="L21" s="70">
        <v>2</v>
      </c>
      <c r="M21" s="70">
        <v>3</v>
      </c>
      <c r="N21" s="70">
        <v>4</v>
      </c>
      <c r="O21" s="70">
        <v>5</v>
      </c>
      <c r="P21" s="70">
        <v>6</v>
      </c>
      <c r="Q21" s="70"/>
      <c r="R21" s="70"/>
      <c r="S21" s="70"/>
      <c r="T21" s="70"/>
      <c r="U21" s="70"/>
      <c r="V21" s="517"/>
      <c r="X21" s="71" t="s">
        <v>55</v>
      </c>
      <c r="Y21" s="77">
        <f>G6</f>
        <v>19025.93</v>
      </c>
      <c r="AA21" s="30"/>
      <c r="AB21" s="70">
        <v>1</v>
      </c>
      <c r="AC21" s="70">
        <v>2</v>
      </c>
      <c r="AD21" s="70">
        <v>3</v>
      </c>
      <c r="AE21" s="70">
        <v>4</v>
      </c>
      <c r="AF21" s="70">
        <v>5</v>
      </c>
      <c r="AG21" s="70">
        <v>6</v>
      </c>
      <c r="AH21" s="70">
        <v>7</v>
      </c>
      <c r="AI21" s="70">
        <v>8</v>
      </c>
      <c r="AJ21" s="70">
        <v>9</v>
      </c>
      <c r="AK21" s="70">
        <v>10</v>
      </c>
      <c r="AL21" s="70">
        <v>11</v>
      </c>
      <c r="AM21" s="519"/>
    </row>
    <row r="22" spans="1:39">
      <c r="A22" s="110" t="s">
        <v>94</v>
      </c>
      <c r="B22" s="3">
        <f>H9/G5*100</f>
        <v>11.312337366842952</v>
      </c>
      <c r="C22" s="109"/>
      <c r="D22" s="109"/>
      <c r="E22" s="109"/>
      <c r="F22" s="109"/>
      <c r="H22" s="105"/>
      <c r="J22" s="125"/>
      <c r="K22" s="73">
        <f ca="1">V22/4</f>
        <v>0</v>
      </c>
      <c r="L22" s="73">
        <f ca="1">K22</f>
        <v>0</v>
      </c>
      <c r="M22" s="73">
        <f ca="1">K22</f>
        <v>0</v>
      </c>
      <c r="N22" s="73">
        <f ca="1">V22/4</f>
        <v>0</v>
      </c>
      <c r="O22" s="73"/>
      <c r="P22" s="73"/>
      <c r="Q22" s="73"/>
      <c r="R22" s="73"/>
      <c r="S22" s="73"/>
      <c r="T22" s="73"/>
      <c r="U22" s="73"/>
      <c r="V22" s="74">
        <f ca="1">Y20</f>
        <v>0</v>
      </c>
      <c r="X22" s="520" t="s">
        <v>90</v>
      </c>
      <c r="Y22" s="520"/>
      <c r="AA22" s="72"/>
      <c r="AB22" s="73">
        <f>AM22/6</f>
        <v>0</v>
      </c>
      <c r="AC22" s="73">
        <f>AB22</f>
        <v>0</v>
      </c>
      <c r="AD22" s="73">
        <f>AB22</f>
        <v>0</v>
      </c>
      <c r="AE22" s="73">
        <f>AM22/4</f>
        <v>0</v>
      </c>
      <c r="AF22" s="73">
        <f>AB22</f>
        <v>0</v>
      </c>
      <c r="AG22" s="73">
        <f>AB22</f>
        <v>0</v>
      </c>
      <c r="AH22" s="73"/>
      <c r="AI22" s="73"/>
      <c r="AJ22" s="73"/>
      <c r="AK22" s="73"/>
      <c r="AL22" s="73"/>
      <c r="AM22" s="126">
        <f>Y23</f>
        <v>0</v>
      </c>
    </row>
    <row r="23" spans="1:39">
      <c r="A23" s="111" t="s">
        <v>95</v>
      </c>
      <c r="B23" s="2">
        <f>H14/G5*100</f>
        <v>6.6282403986944445</v>
      </c>
      <c r="C23" s="109"/>
      <c r="D23" s="109"/>
      <c r="E23" s="109"/>
      <c r="F23" s="109"/>
      <c r="H23" s="105"/>
      <c r="J23" s="125"/>
      <c r="K23" s="75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163">
        <f t="shared" ref="V23" si="2">K23+L23+M23+N23+O23+P23+U23+Q23+R23+S23+T23</f>
        <v>0</v>
      </c>
      <c r="X23" s="69" t="s">
        <v>52</v>
      </c>
      <c r="Y23" s="50"/>
      <c r="AA23" s="72"/>
      <c r="AB23" s="75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166">
        <f t="shared" ref="AM23" si="3">AB23+AC23+AD23+AE23+AF23+AG23+AL23+AH23+AI23+AJ23+AK23</f>
        <v>0</v>
      </c>
    </row>
    <row r="24" spans="1:39">
      <c r="A24" s="84"/>
      <c r="H24" s="105"/>
      <c r="J24" s="84"/>
      <c r="X24" s="71" t="s">
        <v>55</v>
      </c>
      <c r="Y24" s="60">
        <f>G14+G15</f>
        <v>3869.15</v>
      </c>
      <c r="AM24" s="105"/>
    </row>
    <row r="25" spans="1:39">
      <c r="A25" s="84"/>
      <c r="H25" s="105"/>
      <c r="J25" s="84"/>
      <c r="V25" s="128"/>
      <c r="AM25" s="105"/>
    </row>
    <row r="26" spans="1:39" ht="27.75">
      <c r="A26" s="84"/>
      <c r="H26" s="105"/>
      <c r="J26" s="84"/>
      <c r="X26" s="10" t="s">
        <v>96</v>
      </c>
      <c r="Y26" s="384">
        <f>199924.87+10973.5</f>
        <v>210898.37</v>
      </c>
      <c r="AM26" s="105"/>
    </row>
    <row r="27" spans="1:39" ht="30.75">
      <c r="A27" s="84"/>
      <c r="H27" s="105"/>
      <c r="J27" s="84"/>
      <c r="X27" s="10" t="s">
        <v>97</v>
      </c>
      <c r="Y27" s="495">
        <f>24000+48000+27000+10973.5+19916.64</f>
        <v>129890.14</v>
      </c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AM30" s="105"/>
    </row>
    <row r="31" spans="1:39">
      <c r="A31" s="84"/>
      <c r="H31" s="105"/>
      <c r="J31" s="84"/>
      <c r="X31" s="521" t="s">
        <v>98</v>
      </c>
      <c r="Y31" s="522"/>
      <c r="AM31" s="105"/>
    </row>
    <row r="32" spans="1:39">
      <c r="A32" s="84"/>
      <c r="H32" s="105"/>
      <c r="J32" s="84"/>
      <c r="X32" s="523">
        <v>45349</v>
      </c>
      <c r="Y32" s="524"/>
      <c r="AM32" s="105"/>
    </row>
    <row r="33" spans="1:39">
      <c r="A33" s="112"/>
      <c r="B33" s="113"/>
      <c r="C33" s="113"/>
      <c r="D33" s="113"/>
      <c r="E33" s="113"/>
      <c r="F33" s="113"/>
      <c r="G33" s="113"/>
      <c r="H33" s="114"/>
      <c r="J33" s="112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525"/>
      <c r="Y33" s="526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4"/>
    </row>
    <row r="35" spans="1:39">
      <c r="Y35" s="1"/>
    </row>
    <row r="36" spans="1:39">
      <c r="A36" s="505" t="s">
        <v>153</v>
      </c>
      <c r="B36" s="506" t="s">
        <v>203</v>
      </c>
      <c r="C36" s="171">
        <f>C39+C43+C45+C47+C53+C57+C61</f>
        <v>162807.65</v>
      </c>
      <c r="Y36" s="1"/>
    </row>
    <row r="37" spans="1:39">
      <c r="A37" s="508" t="s">
        <v>204</v>
      </c>
      <c r="B37" t="s">
        <v>205</v>
      </c>
      <c r="C37" s="11">
        <v>2750</v>
      </c>
    </row>
    <row r="38" spans="1:39">
      <c r="A38" s="508"/>
      <c r="B38" t="s">
        <v>206</v>
      </c>
      <c r="C38" s="11">
        <v>1283.78</v>
      </c>
    </row>
    <row r="39" spans="1:39">
      <c r="A39" s="508"/>
      <c r="C39" s="510">
        <f>C37+C38</f>
        <v>4033.7799999999997</v>
      </c>
    </row>
    <row r="40" spans="1:39">
      <c r="A40" s="508"/>
      <c r="C40" s="510"/>
    </row>
    <row r="41" spans="1:39">
      <c r="A41" s="508" t="s">
        <v>207</v>
      </c>
      <c r="B41" t="s">
        <v>208</v>
      </c>
      <c r="C41" s="11">
        <v>15651.51</v>
      </c>
    </row>
    <row r="42" spans="1:39">
      <c r="A42" s="508"/>
      <c r="B42" t="s">
        <v>209</v>
      </c>
      <c r="C42" s="11">
        <v>2981.23</v>
      </c>
    </row>
    <row r="43" spans="1:39">
      <c r="A43" s="508"/>
      <c r="C43" s="510">
        <f>C41+C42</f>
        <v>18632.740000000002</v>
      </c>
    </row>
    <row r="44" spans="1:39">
      <c r="A44" s="508"/>
      <c r="C44" s="510"/>
    </row>
    <row r="45" spans="1:39">
      <c r="A45" s="508" t="s">
        <v>210</v>
      </c>
      <c r="B45" t="s">
        <v>211</v>
      </c>
      <c r="C45" s="510">
        <v>1200</v>
      </c>
    </row>
    <row r="46" spans="1:39">
      <c r="A46" s="508"/>
      <c r="C46" s="11"/>
    </row>
    <row r="47" spans="1:39">
      <c r="A47" s="508" t="s">
        <v>212</v>
      </c>
      <c r="B47" t="s">
        <v>213</v>
      </c>
      <c r="C47" s="510">
        <v>3976.59</v>
      </c>
    </row>
    <row r="48" spans="1:39">
      <c r="A48" s="508"/>
      <c r="C48" s="11"/>
    </row>
    <row r="49" spans="1:3">
      <c r="A49" s="508" t="s">
        <v>214</v>
      </c>
      <c r="B49" t="s">
        <v>215</v>
      </c>
      <c r="C49" s="11">
        <v>10973.5</v>
      </c>
    </row>
    <row r="50" spans="1:3">
      <c r="A50" s="508"/>
      <c r="B50" t="s">
        <v>216</v>
      </c>
      <c r="C50" s="11">
        <v>48000</v>
      </c>
    </row>
    <row r="51" spans="1:3">
      <c r="A51" s="508"/>
      <c r="B51" t="s">
        <v>217</v>
      </c>
      <c r="C51" s="11">
        <v>27000</v>
      </c>
    </row>
    <row r="52" spans="1:3">
      <c r="A52" s="508"/>
      <c r="B52" t="s">
        <v>218</v>
      </c>
      <c r="C52" s="11">
        <v>43916.639999999999</v>
      </c>
    </row>
    <row r="53" spans="1:3">
      <c r="A53" s="508"/>
      <c r="C53" s="510">
        <f>C52+C51+C50+C49</f>
        <v>129890.14</v>
      </c>
    </row>
    <row r="54" spans="1:3">
      <c r="A54" s="508"/>
      <c r="C54" s="510"/>
    </row>
    <row r="55" spans="1:3">
      <c r="A55" s="508" t="s">
        <v>219</v>
      </c>
      <c r="B55" t="s">
        <v>220</v>
      </c>
      <c r="C55" s="11">
        <v>428.15</v>
      </c>
    </row>
    <row r="56" spans="1:3">
      <c r="A56" s="508"/>
      <c r="B56" t="s">
        <v>221</v>
      </c>
      <c r="C56" s="11">
        <v>267.95</v>
      </c>
    </row>
    <row r="57" spans="1:3">
      <c r="A57" s="508"/>
      <c r="C57" s="510">
        <f>C55+C56</f>
        <v>696.09999999999991</v>
      </c>
    </row>
    <row r="58" spans="1:3">
      <c r="A58" s="508"/>
      <c r="C58" s="11"/>
    </row>
    <row r="59" spans="1:3">
      <c r="A59" s="508" t="s">
        <v>222</v>
      </c>
      <c r="B59" t="s">
        <v>223</v>
      </c>
      <c r="C59" s="11">
        <v>2008.8</v>
      </c>
    </row>
    <row r="60" spans="1:3">
      <c r="A60" s="508"/>
      <c r="B60" t="s">
        <v>224</v>
      </c>
      <c r="C60" s="11">
        <v>2369.5</v>
      </c>
    </row>
    <row r="61" spans="1:3">
      <c r="A61" s="508"/>
      <c r="C61" s="510">
        <f>C59+C60</f>
        <v>4378.3</v>
      </c>
    </row>
    <row r="62" spans="1:3">
      <c r="A62" s="505" t="s">
        <v>225</v>
      </c>
      <c r="B62" s="506" t="s">
        <v>203</v>
      </c>
      <c r="C62" s="171">
        <f>C66</f>
        <v>1350</v>
      </c>
    </row>
    <row r="63" spans="1:3">
      <c r="A63" s="508" t="s">
        <v>226</v>
      </c>
      <c r="B63" t="s">
        <v>227</v>
      </c>
      <c r="C63" s="11">
        <v>480</v>
      </c>
    </row>
    <row r="64" spans="1:3">
      <c r="A64" s="508"/>
      <c r="B64" t="s">
        <v>228</v>
      </c>
      <c r="C64" s="11">
        <v>620</v>
      </c>
    </row>
    <row r="65" spans="1:3">
      <c r="A65" s="508"/>
      <c r="B65" t="s">
        <v>229</v>
      </c>
      <c r="C65" s="11">
        <v>250</v>
      </c>
    </row>
    <row r="66" spans="1:3">
      <c r="A66" s="508"/>
      <c r="C66" s="510">
        <f>C63+C64+C65</f>
        <v>1350</v>
      </c>
    </row>
    <row r="67" spans="1:3">
      <c r="A67" s="508"/>
      <c r="C67" s="11"/>
    </row>
    <row r="68" spans="1:3">
      <c r="A68" s="505" t="s">
        <v>230</v>
      </c>
      <c r="B68" s="507" t="s">
        <v>203</v>
      </c>
      <c r="C68" s="512">
        <f>C71+C73+C77+C81</f>
        <v>19026.010000000002</v>
      </c>
    </row>
    <row r="69" spans="1:3">
      <c r="A69" s="508" t="s">
        <v>231</v>
      </c>
      <c r="B69" t="s">
        <v>232</v>
      </c>
      <c r="C69" s="11">
        <v>6406.31</v>
      </c>
    </row>
    <row r="70" spans="1:3">
      <c r="A70" s="508"/>
      <c r="B70" t="s">
        <v>233</v>
      </c>
      <c r="C70" s="11">
        <v>446.74</v>
      </c>
    </row>
    <row r="71" spans="1:3">
      <c r="A71" s="508"/>
      <c r="C71" s="510">
        <f>C69+C70</f>
        <v>6853.05</v>
      </c>
    </row>
    <row r="72" spans="1:3">
      <c r="A72" s="508"/>
      <c r="C72" s="11"/>
    </row>
    <row r="73" spans="1:3">
      <c r="A73" s="508" t="s">
        <v>234</v>
      </c>
      <c r="B73" t="s">
        <v>235</v>
      </c>
      <c r="C73" s="510">
        <v>5124.83</v>
      </c>
    </row>
    <row r="74" spans="1:3">
      <c r="A74" s="508"/>
      <c r="C74" s="11"/>
    </row>
    <row r="75" spans="1:3">
      <c r="A75" s="508" t="s">
        <v>236</v>
      </c>
      <c r="B75" t="s">
        <v>237</v>
      </c>
      <c r="C75" s="11">
        <v>491.9</v>
      </c>
    </row>
    <row r="76" spans="1:3">
      <c r="A76" s="508"/>
      <c r="B76" t="s">
        <v>238</v>
      </c>
      <c r="C76" s="11">
        <v>780.18</v>
      </c>
    </row>
    <row r="77" spans="1:3">
      <c r="A77" s="508"/>
      <c r="C77" s="510">
        <f>C75+C76</f>
        <v>1272.08</v>
      </c>
    </row>
    <row r="78" spans="1:3">
      <c r="A78" s="508"/>
      <c r="C78" s="11"/>
    </row>
    <row r="79" spans="1:3">
      <c r="A79" s="508" t="s">
        <v>239</v>
      </c>
      <c r="B79" t="s">
        <v>240</v>
      </c>
      <c r="C79" s="11">
        <v>6504.2</v>
      </c>
    </row>
    <row r="80" spans="1:3">
      <c r="A80" s="508"/>
      <c r="C80" s="11">
        <v>-728.15</v>
      </c>
    </row>
    <row r="81" spans="1:3">
      <c r="A81" s="446"/>
      <c r="B81" s="509"/>
      <c r="C81" s="511">
        <f>C79+C80</f>
        <v>5776.05</v>
      </c>
    </row>
  </sheetData>
  <mergeCells count="19">
    <mergeCell ref="V20:V21"/>
    <mergeCell ref="AM20:AM21"/>
    <mergeCell ref="X22:Y22"/>
    <mergeCell ref="X31:Y31"/>
    <mergeCell ref="X32:Y33"/>
    <mergeCell ref="V4:V5"/>
    <mergeCell ref="AM4:AM5"/>
    <mergeCell ref="X6:Y6"/>
    <mergeCell ref="K19:U19"/>
    <mergeCell ref="X19:Y19"/>
    <mergeCell ref="AB19:AL19"/>
    <mergeCell ref="A2:H2"/>
    <mergeCell ref="J2:AM2"/>
    <mergeCell ref="C3:D3"/>
    <mergeCell ref="E3:F3"/>
    <mergeCell ref="G3:H3"/>
    <mergeCell ref="K3:U3"/>
    <mergeCell ref="X3:Y3"/>
    <mergeCell ref="AB3:AL3"/>
  </mergeCells>
  <pageMargins left="0.7" right="0.7" top="0.75" bottom="0.75" header="0.3" footer="0.3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8ADA-B43D-423E-8E9D-EBD0C4BC349D}">
  <sheetPr>
    <pageSetUpPr fitToPage="1"/>
  </sheetPr>
  <dimension ref="A1:AM37"/>
  <sheetViews>
    <sheetView workbookViewId="0">
      <selection activeCell="E13" sqref="E13"/>
    </sheetView>
  </sheetViews>
  <sheetFormatPr defaultRowHeight="15" outlineLevelCol="1"/>
  <cols>
    <col min="1" max="1" width="36.42578125" bestFit="1" customWidth="1"/>
    <col min="2" max="2" width="30.140625" bestFit="1" customWidth="1"/>
    <col min="3" max="5" width="10.7109375" customWidth="1"/>
    <col min="6" max="6" width="10.140625" customWidth="1"/>
    <col min="7" max="8" width="10.7109375" customWidth="1"/>
    <col min="9" max="9" width="3.28515625" customWidth="1"/>
    <col min="10" max="10" width="0.5703125" hidden="1" customWidth="1" outlineLevel="1"/>
    <col min="11" max="11" width="13" hidden="1" customWidth="1" outlineLevel="1" collapsed="1"/>
    <col min="12" max="21" width="13" hidden="1" customWidth="1" outlineLevel="1"/>
    <col min="22" max="22" width="13" hidden="1" customWidth="1" outlineLevel="1" collapsed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0" width="10.7109375" customWidth="1"/>
    <col min="31" max="31" width="10.7109375" hidden="1" customWidth="1" outlineLevel="1"/>
    <col min="32" max="37" width="12.7109375" hidden="1" customWidth="1" outlineLevel="1"/>
    <col min="38" max="38" width="3.28515625" hidden="1" customWidth="1" outlineLevel="1"/>
    <col min="39" max="39" width="12.7109375" customWidth="1" collapsed="1"/>
    <col min="40" max="40" width="12.7109375" customWidth="1"/>
  </cols>
  <sheetData>
    <row r="1" spans="1:39" ht="25.5" customHeight="1">
      <c r="A1" s="331" t="s">
        <v>241</v>
      </c>
      <c r="B1" s="576" t="s">
        <v>242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</row>
    <row r="2" spans="1:39" ht="18.75">
      <c r="A2" s="573" t="s">
        <v>35</v>
      </c>
      <c r="B2" s="574"/>
      <c r="C2" s="574"/>
      <c r="D2" s="574"/>
      <c r="E2" s="574"/>
      <c r="F2" s="574"/>
      <c r="G2" s="574"/>
      <c r="H2" s="575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</row>
    <row r="3" spans="1:39" ht="15.75" customHeight="1">
      <c r="A3" s="84"/>
      <c r="C3" s="543" t="s">
        <v>243</v>
      </c>
      <c r="D3" s="544"/>
      <c r="E3" s="543" t="s">
        <v>244</v>
      </c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39" ht="16.5" customHeight="1">
      <c r="A4" s="85" t="s">
        <v>43</v>
      </c>
      <c r="B4" s="5" t="s">
        <v>44</v>
      </c>
      <c r="C4" s="83">
        <f>G4/4*3</f>
        <v>65700</v>
      </c>
      <c r="E4" s="83">
        <f>G4/4</f>
        <v>21900</v>
      </c>
      <c r="G4" s="153">
        <f>Y10+Y11</f>
        <v>87600</v>
      </c>
      <c r="H4" s="86"/>
      <c r="J4" s="178" t="s">
        <v>45</v>
      </c>
      <c r="K4" s="32" t="s">
        <v>245</v>
      </c>
      <c r="L4" s="31" t="s">
        <v>246</v>
      </c>
      <c r="M4" s="170" t="s">
        <v>247</v>
      </c>
      <c r="N4" s="170" t="s">
        <v>247</v>
      </c>
      <c r="O4" s="32"/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N6</f>
        <v>1</v>
      </c>
      <c r="Z4" s="116"/>
      <c r="AA4" s="30" t="s">
        <v>45</v>
      </c>
      <c r="AB4" s="32" t="s">
        <v>245</v>
      </c>
      <c r="AC4" s="31" t="s">
        <v>246</v>
      </c>
      <c r="AD4" s="170" t="s">
        <v>247</v>
      </c>
      <c r="AE4" s="170"/>
      <c r="AF4" s="32"/>
      <c r="AG4" s="32"/>
      <c r="AH4" s="32"/>
      <c r="AI4" s="32"/>
      <c r="AJ4" s="32"/>
      <c r="AK4" s="32"/>
      <c r="AL4" s="32"/>
      <c r="AM4" s="529" t="s">
        <v>51</v>
      </c>
    </row>
    <row r="5" spans="1:39">
      <c r="A5" s="85" t="s">
        <v>53</v>
      </c>
      <c r="B5" s="5" t="s">
        <v>54</v>
      </c>
      <c r="C5" s="192">
        <f>C6+C7+C8+C9+C10+C11+C13+C14+C16+C15+C12</f>
        <v>45139.079694600005</v>
      </c>
      <c r="D5" s="5"/>
      <c r="E5" s="192">
        <f>E6+E7+E8+E9+E10+E11+E13+E14+E16+E15+E12</f>
        <v>15676.536530378769</v>
      </c>
      <c r="F5" s="5"/>
      <c r="G5" s="154">
        <f>G6+G7+G8+G9+G10+G11+G13+G14+G16+G15+G12</f>
        <v>60815.616224978752</v>
      </c>
      <c r="H5" s="87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N7+V8</f>
        <v>1.8604651162790697E-2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88" t="s">
        <v>56</v>
      </c>
      <c r="B6" s="81" t="s">
        <v>57</v>
      </c>
      <c r="C6" s="135">
        <f>10972.19+495.8</f>
        <v>11467.99</v>
      </c>
      <c r="D6" s="156">
        <f>C6+C7+C8</f>
        <v>13329.69</v>
      </c>
      <c r="E6" s="156">
        <v>437.59</v>
      </c>
      <c r="F6" s="13">
        <f>E6+E7+E8</f>
        <v>9577.19</v>
      </c>
      <c r="G6" s="9">
        <f>C6+E6</f>
        <v>11905.58</v>
      </c>
      <c r="H6" s="90">
        <f>G6+G7+G8</f>
        <v>22906.880000000001</v>
      </c>
      <c r="J6" s="180"/>
      <c r="K6" s="40">
        <v>0.33</v>
      </c>
      <c r="L6" s="40">
        <v>0.66</v>
      </c>
      <c r="M6" s="40">
        <v>1</v>
      </c>
      <c r="N6" s="40">
        <v>1</v>
      </c>
      <c r="O6" s="40"/>
      <c r="P6" s="40"/>
      <c r="Q6" s="40"/>
      <c r="R6" s="40"/>
      <c r="S6" s="40"/>
      <c r="T6" s="40"/>
      <c r="U6" s="41"/>
      <c r="V6" s="40">
        <f>M6</f>
        <v>1</v>
      </c>
      <c r="X6" s="531" t="s">
        <v>58</v>
      </c>
      <c r="Y6" s="532"/>
      <c r="AA6" s="42"/>
      <c r="AB6" s="43">
        <f>AM6/3</f>
        <v>336.66666666666669</v>
      </c>
      <c r="AC6" s="43">
        <f>AB6</f>
        <v>336.66666666666669</v>
      </c>
      <c r="AD6" s="43">
        <f>AB6</f>
        <v>336.66666666666669</v>
      </c>
      <c r="AE6" s="43">
        <f>AM6/4</f>
        <v>252.5</v>
      </c>
      <c r="AF6" s="43"/>
      <c r="AG6" s="43"/>
      <c r="AH6" s="44"/>
      <c r="AI6" s="44"/>
      <c r="AJ6" s="44"/>
      <c r="AK6" s="44"/>
      <c r="AL6" s="44"/>
      <c r="AM6" s="121">
        <f>558+452</f>
        <v>1010</v>
      </c>
    </row>
    <row r="7" spans="1:39">
      <c r="A7" s="91" t="s">
        <v>59</v>
      </c>
      <c r="B7" s="92" t="s">
        <v>60</v>
      </c>
      <c r="C7" s="134"/>
      <c r="D7" s="13"/>
      <c r="E7" s="156">
        <f>550+175</f>
        <v>725</v>
      </c>
      <c r="F7" s="13"/>
      <c r="G7" s="9">
        <f t="shared" ref="G7:G16" si="0">C7+E7</f>
        <v>725</v>
      </c>
      <c r="H7" s="90"/>
      <c r="J7" s="181"/>
      <c r="K7" s="48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f>M7</f>
        <v>0</v>
      </c>
      <c r="X7" s="49" t="s">
        <v>52</v>
      </c>
      <c r="Y7" s="50">
        <f>AM6/Y13</f>
        <v>8.2401892795953326</v>
      </c>
      <c r="AA7" s="51"/>
      <c r="AB7" s="52">
        <v>453.5</v>
      </c>
      <c r="AC7" s="53">
        <v>317</v>
      </c>
      <c r="AD7" s="53">
        <v>169.5</v>
      </c>
      <c r="AE7" s="53"/>
      <c r="AF7" s="53"/>
      <c r="AG7" s="53"/>
      <c r="AH7" s="54"/>
      <c r="AI7" s="54"/>
      <c r="AJ7" s="54"/>
      <c r="AK7" s="54"/>
      <c r="AL7" s="54"/>
      <c r="AM7" s="164">
        <f t="shared" ref="AM7" si="1">AB7+AC7+AD7+AE7+AF7+AG7+AL7+AH7+AI7+AJ7+AK7</f>
        <v>940</v>
      </c>
    </row>
    <row r="8" spans="1:39">
      <c r="A8" s="93" t="s">
        <v>61</v>
      </c>
      <c r="B8" s="82" t="s">
        <v>62</v>
      </c>
      <c r="C8" s="155">
        <v>1861.7</v>
      </c>
      <c r="D8" s="14"/>
      <c r="E8" s="157">
        <f>880+933.6+5969+632</f>
        <v>8414.6</v>
      </c>
      <c r="F8" s="14"/>
      <c r="G8" s="9">
        <f t="shared" si="0"/>
        <v>10276.300000000001</v>
      </c>
      <c r="H8" s="95"/>
      <c r="J8" s="182"/>
      <c r="K8" s="55"/>
      <c r="L8" s="55"/>
      <c r="M8" s="56">
        <f>Y11/Y10</f>
        <v>1.8604651162790697E-2</v>
      </c>
      <c r="N8" s="56"/>
      <c r="O8" s="57"/>
      <c r="P8" s="56"/>
      <c r="Q8" s="58"/>
      <c r="R8" s="58"/>
      <c r="S8" s="58"/>
      <c r="T8" s="58"/>
      <c r="U8" s="58"/>
      <c r="V8" s="56">
        <f>SUM(K8:U8)</f>
        <v>1.8604651162790697E-2</v>
      </c>
      <c r="X8" s="59" t="s">
        <v>55</v>
      </c>
      <c r="Y8" s="77">
        <f>AM7/Y13</f>
        <v>7.6690870522966463</v>
      </c>
      <c r="AM8" s="105"/>
    </row>
    <row r="9" spans="1:39">
      <c r="A9" s="88" t="s">
        <v>63</v>
      </c>
      <c r="B9" s="81" t="s">
        <v>64</v>
      </c>
      <c r="C9" s="367">
        <f>((3000/4.5*2*2)+281.5*15+183.5*13.5+99*12+104*14+102.5*13.5-C13)*1.42</f>
        <v>9789.7166666666653</v>
      </c>
      <c r="D9" s="151">
        <f>C9+C10+C11+C13+C12</f>
        <v>24166.039694599996</v>
      </c>
      <c r="E9" s="354">
        <f>(9*15+20.3*14+20*15+26.1*15+24.5*12+278.1+253.5*2+907.15/13*3-E13)*1.42</f>
        <v>1063.7820769230771</v>
      </c>
      <c r="F9" s="137">
        <f>E9+E10+E11+E13+E12</f>
        <v>4602.9065303787693</v>
      </c>
      <c r="G9" s="24">
        <f t="shared" si="0"/>
        <v>10853.498743589742</v>
      </c>
      <c r="H9" s="96">
        <f>G9+G10+G11+G13+G12</f>
        <v>28768.946224978768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2309.3941616666662</v>
      </c>
      <c r="D10" s="13"/>
      <c r="E10" s="156">
        <f>E9*0.2359</f>
        <v>250.94619194615387</v>
      </c>
      <c r="F10" s="89"/>
      <c r="G10" s="25">
        <f t="shared" si="0"/>
        <v>2560.3403536128199</v>
      </c>
      <c r="H10" s="95"/>
      <c r="J10" s="84"/>
      <c r="X10" s="10" t="s">
        <v>67</v>
      </c>
      <c r="Y10" s="61">
        <f>45500+40500</f>
        <v>86000</v>
      </c>
      <c r="AM10" s="105"/>
    </row>
    <row r="11" spans="1:39">
      <c r="A11" s="91" t="s">
        <v>68</v>
      </c>
      <c r="B11" s="92" t="s">
        <v>69</v>
      </c>
      <c r="C11" s="134">
        <f>(C9+C10)*0.08</f>
        <v>967.92886626666643</v>
      </c>
      <c r="D11" s="13"/>
      <c r="E11" s="156">
        <f>(E9+E10)*0.08</f>
        <v>105.17826150953849</v>
      </c>
      <c r="F11" s="89"/>
      <c r="G11" s="25">
        <f t="shared" si="0"/>
        <v>1073.1071277762048</v>
      </c>
      <c r="H11" s="95"/>
      <c r="J11" s="84"/>
      <c r="X11" s="62" t="s">
        <v>70</v>
      </c>
      <c r="Y11" s="201">
        <v>1600</v>
      </c>
      <c r="AM11" s="105"/>
    </row>
    <row r="12" spans="1:39">
      <c r="A12" s="97" t="s">
        <v>71</v>
      </c>
      <c r="B12" s="98" t="s">
        <v>72</v>
      </c>
      <c r="C12" s="135">
        <f>(C4)*0.07</f>
        <v>4599</v>
      </c>
      <c r="D12" s="142"/>
      <c r="E12" s="159">
        <f>(E4)*0.07</f>
        <v>1533.0000000000002</v>
      </c>
      <c r="F12" s="131"/>
      <c r="G12" s="25">
        <f t="shared" si="0"/>
        <v>6132</v>
      </c>
      <c r="H12" s="95"/>
      <c r="J12" s="84"/>
      <c r="AM12" s="105"/>
    </row>
    <row r="13" spans="1:39">
      <c r="A13" s="91" t="s">
        <v>73</v>
      </c>
      <c r="B13" s="92" t="s">
        <v>74</v>
      </c>
      <c r="C13" s="139">
        <f>130*50</f>
        <v>6500</v>
      </c>
      <c r="D13" s="143"/>
      <c r="E13" s="356">
        <f>33*50</f>
        <v>1650</v>
      </c>
      <c r="F13" s="133"/>
      <c r="G13" s="26">
        <f t="shared" si="0"/>
        <v>8150</v>
      </c>
      <c r="H13" s="99"/>
      <c r="J13" s="84"/>
      <c r="X13" s="64" t="s">
        <v>75</v>
      </c>
      <c r="Y13" s="65">
        <f>70.79+51.78</f>
        <v>122.57000000000001</v>
      </c>
      <c r="AM13" s="105"/>
    </row>
    <row r="14" spans="1:39">
      <c r="A14" s="100" t="s">
        <v>76</v>
      </c>
      <c r="B14" s="81" t="s">
        <v>77</v>
      </c>
      <c r="C14" s="135">
        <f>3410+198+188+83.72+1126.83</f>
        <v>5006.5499999999993</v>
      </c>
      <c r="D14" s="13">
        <f>C14+C16+C15</f>
        <v>7643.3499999999985</v>
      </c>
      <c r="E14" s="159"/>
      <c r="F14" s="156">
        <f>E14+E16+E15</f>
        <v>1496.44</v>
      </c>
      <c r="G14" s="9">
        <f t="shared" si="0"/>
        <v>5006.5499999999993</v>
      </c>
      <c r="H14" s="95">
        <f>G14+G16+G15</f>
        <v>9139.7899999999991</v>
      </c>
      <c r="J14" s="84"/>
      <c r="X14" s="66" t="s">
        <v>78</v>
      </c>
      <c r="Y14" s="66" t="s">
        <v>79</v>
      </c>
      <c r="AM14" s="105"/>
    </row>
    <row r="15" spans="1:39">
      <c r="A15" s="101" t="s">
        <v>80</v>
      </c>
      <c r="B15" s="92" t="s">
        <v>81</v>
      </c>
      <c r="C15" s="135">
        <f>206.18+29+176.48+38.71+461.57+100.54+231.98+81.1+163.13+115.51+233.99+126.86+81.1</f>
        <v>2046.1499999999994</v>
      </c>
      <c r="D15" s="13"/>
      <c r="E15" s="142"/>
      <c r="F15" s="13"/>
      <c r="G15" s="9">
        <f t="shared" si="0"/>
        <v>2046.1499999999994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34">
        <f>465.65+125</f>
        <v>590.65</v>
      </c>
      <c r="D16" s="13"/>
      <c r="E16" s="13">
        <f>6.6+496.6+253.23+450+104.01+42+144</f>
        <v>1496.44</v>
      </c>
      <c r="F16" s="13"/>
      <c r="G16" s="9">
        <f t="shared" si="0"/>
        <v>2087.09</v>
      </c>
      <c r="H16" s="95"/>
      <c r="J16" s="84"/>
      <c r="X16" s="67" t="s">
        <v>85</v>
      </c>
      <c r="Y16" s="68">
        <v>12</v>
      </c>
      <c r="AM16" s="105"/>
    </row>
    <row r="17" spans="1:39">
      <c r="A17" s="85" t="s">
        <v>86</v>
      </c>
      <c r="B17" s="5" t="s">
        <v>87</v>
      </c>
      <c r="C17" s="185">
        <f>C4-C5</f>
        <v>20560.920305399995</v>
      </c>
      <c r="D17" s="129">
        <f>C17/C4</f>
        <v>0.31295160282191775</v>
      </c>
      <c r="E17" s="197">
        <f>E4-E5</f>
        <v>6223.4634696212306</v>
      </c>
      <c r="F17" s="130">
        <f>E17/E4</f>
        <v>0.28417641413795575</v>
      </c>
      <c r="G17" s="16">
        <f>G4-G5</f>
        <v>26784.383775021248</v>
      </c>
      <c r="H17" s="102">
        <f>G17/G4</f>
        <v>0.30575780565092747</v>
      </c>
      <c r="J17" s="84"/>
      <c r="AM17" s="105"/>
    </row>
    <row r="18" spans="1:39" ht="20.25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33" t="s">
        <v>88</v>
      </c>
      <c r="L18" s="534"/>
      <c r="M18" s="534"/>
      <c r="N18" s="534"/>
      <c r="O18" s="534"/>
      <c r="P18" s="534"/>
      <c r="Q18" s="534"/>
      <c r="R18" s="534"/>
      <c r="S18" s="534"/>
      <c r="T18" s="534"/>
      <c r="U18" s="535"/>
      <c r="V18" s="29"/>
      <c r="X18" s="520" t="s">
        <v>89</v>
      </c>
      <c r="Y18" s="520"/>
      <c r="AA18" s="27" t="s">
        <v>40</v>
      </c>
      <c r="AB18" s="533" t="s">
        <v>90</v>
      </c>
      <c r="AC18" s="534"/>
      <c r="AD18" s="534"/>
      <c r="AE18" s="534"/>
      <c r="AF18" s="534"/>
      <c r="AG18" s="534"/>
      <c r="AH18" s="534"/>
      <c r="AI18" s="534"/>
      <c r="AJ18" s="534"/>
      <c r="AK18" s="534"/>
      <c r="AL18" s="535"/>
      <c r="AM18" s="117"/>
    </row>
    <row r="19" spans="1:39" ht="24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32" t="s">
        <v>245</v>
      </c>
      <c r="L19" s="31" t="s">
        <v>246</v>
      </c>
      <c r="M19" s="170" t="s">
        <v>247</v>
      </c>
      <c r="N19" s="170"/>
      <c r="O19" s="32"/>
      <c r="P19" s="32"/>
      <c r="Q19" s="31"/>
      <c r="R19" s="31"/>
      <c r="S19" s="31"/>
      <c r="T19" s="31"/>
      <c r="U19" s="31"/>
      <c r="V19" s="516" t="s">
        <v>51</v>
      </c>
      <c r="X19" s="69" t="s">
        <v>52</v>
      </c>
      <c r="Y19" s="50">
        <f>5797.47+4303</f>
        <v>10100.470000000001</v>
      </c>
      <c r="AA19" s="30" t="s">
        <v>45</v>
      </c>
      <c r="AB19" s="32" t="s">
        <v>245</v>
      </c>
      <c r="AC19" s="31" t="s">
        <v>246</v>
      </c>
      <c r="AD19" s="170" t="s">
        <v>247</v>
      </c>
      <c r="AE19" s="170"/>
      <c r="AF19" s="32"/>
      <c r="AG19" s="32"/>
      <c r="AH19" s="31"/>
      <c r="AI19" s="31"/>
      <c r="AJ19" s="31"/>
      <c r="AK19" s="31"/>
      <c r="AL19" s="31"/>
      <c r="AM19" s="518" t="s">
        <v>51</v>
      </c>
    </row>
    <row r="20" spans="1:39">
      <c r="A20" s="108" t="s">
        <v>93</v>
      </c>
      <c r="B20" s="3">
        <f>H6/G5*100</f>
        <v>37.666115090011168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/>
      <c r="R20" s="70"/>
      <c r="S20" s="70"/>
      <c r="T20" s="70"/>
      <c r="U20" s="70"/>
      <c r="V20" s="517"/>
      <c r="X20" s="71" t="s">
        <v>55</v>
      </c>
      <c r="Y20" s="60">
        <f>G6+G7</f>
        <v>12630.58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>
        <f>H9/G5*100</f>
        <v>47.305195623690025</v>
      </c>
      <c r="C21" s="109"/>
      <c r="D21" s="109"/>
      <c r="E21" s="109"/>
      <c r="F21" s="109"/>
      <c r="H21" s="105"/>
      <c r="J21" s="125"/>
      <c r="K21" s="73">
        <f>V21/4</f>
        <v>2525.1175000000003</v>
      </c>
      <c r="L21" s="73">
        <f>K21</f>
        <v>2525.1175000000003</v>
      </c>
      <c r="M21" s="73">
        <f>K21</f>
        <v>2525.1175000000003</v>
      </c>
      <c r="N21" s="73">
        <f>V21/4</f>
        <v>2525.1175000000003</v>
      </c>
      <c r="O21" s="73"/>
      <c r="P21" s="73"/>
      <c r="Q21" s="73"/>
      <c r="R21" s="73"/>
      <c r="S21" s="73"/>
      <c r="T21" s="73"/>
      <c r="U21" s="73"/>
      <c r="V21" s="74">
        <f>Y19</f>
        <v>10100.470000000001</v>
      </c>
      <c r="X21" s="520" t="s">
        <v>90</v>
      </c>
      <c r="Y21" s="520"/>
      <c r="AA21" s="72"/>
      <c r="AB21" s="73">
        <f>AM21/4</f>
        <v>2171.5</v>
      </c>
      <c r="AC21" s="73">
        <f>AB21</f>
        <v>2171.5</v>
      </c>
      <c r="AD21" s="73">
        <f>AB21</f>
        <v>2171.5</v>
      </c>
      <c r="AE21" s="73">
        <f>AM21/4</f>
        <v>2171.5</v>
      </c>
      <c r="AF21" s="73"/>
      <c r="AG21" s="73"/>
      <c r="AH21" s="73"/>
      <c r="AI21" s="73"/>
      <c r="AJ21" s="73"/>
      <c r="AK21" s="73"/>
      <c r="AL21" s="73"/>
      <c r="AM21" s="126">
        <f>Y22</f>
        <v>8686</v>
      </c>
    </row>
    <row r="22" spans="1:39">
      <c r="A22" s="111" t="s">
        <v>95</v>
      </c>
      <c r="B22" s="2">
        <f>H14/G5*100</f>
        <v>15.028689286298839</v>
      </c>
      <c r="C22" s="109"/>
      <c r="D22" s="109"/>
      <c r="E22" s="109"/>
      <c r="F22" s="109"/>
      <c r="H22" s="105"/>
      <c r="J22" s="12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63">
        <f t="shared" ref="V22" si="2">K22+L22+M22+N22+O22+P22+U22+Q22+R22+S22+T22</f>
        <v>0</v>
      </c>
      <c r="X22" s="69" t="s">
        <v>52</v>
      </c>
      <c r="Y22" s="50">
        <f>4936+3750</f>
        <v>8686</v>
      </c>
      <c r="AA22" s="72"/>
      <c r="AB22" s="75">
        <f>4207.66+461.57+100.54</f>
        <v>4769.7699999999995</v>
      </c>
      <c r="AC22" s="76">
        <f>231.98+842+1126+82.7</f>
        <v>2282.6799999999998</v>
      </c>
      <c r="AD22" s="76"/>
      <c r="AE22" s="76"/>
      <c r="AF22" s="76"/>
      <c r="AG22" s="76"/>
      <c r="AH22" s="76"/>
      <c r="AI22" s="76"/>
      <c r="AJ22" s="76"/>
      <c r="AK22" s="76"/>
      <c r="AL22" s="76"/>
      <c r="AM22" s="166">
        <f>AD22+AC22+AB22</f>
        <v>7052.4499999999989</v>
      </c>
    </row>
    <row r="23" spans="1:39">
      <c r="A23" s="84"/>
      <c r="H23" s="105"/>
      <c r="J23" s="84"/>
      <c r="X23" s="71" t="s">
        <v>55</v>
      </c>
      <c r="Y23" s="77">
        <f>AM22</f>
        <v>7052.4499999999989</v>
      </c>
      <c r="AM23" s="105"/>
    </row>
    <row r="24" spans="1:39">
      <c r="A24" s="84"/>
      <c r="H24" s="105"/>
      <c r="J24" s="84"/>
      <c r="V24" s="128"/>
      <c r="AM24" s="105"/>
    </row>
    <row r="25" spans="1:39" ht="30" customHeight="1">
      <c r="A25" s="84"/>
      <c r="H25" s="105"/>
      <c r="J25" s="84"/>
      <c r="X25" s="10" t="s">
        <v>96</v>
      </c>
      <c r="Y25" s="145">
        <v>4794</v>
      </c>
      <c r="AM25" s="105"/>
    </row>
    <row r="26" spans="1:39" ht="30.75" customHeight="1">
      <c r="A26" s="84"/>
      <c r="H26" s="105"/>
      <c r="J26" s="84"/>
      <c r="X26" s="10" t="s">
        <v>97</v>
      </c>
      <c r="Y26" s="145">
        <f>6178.48+880</f>
        <v>7058.48</v>
      </c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23">
        <v>45197</v>
      </c>
      <c r="Y31" s="524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25"/>
      <c r="Y32" s="526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7" spans="9:9">
      <c r="I37" s="1"/>
    </row>
  </sheetData>
  <mergeCells count="20">
    <mergeCell ref="V19:V20"/>
    <mergeCell ref="AM19:AM20"/>
    <mergeCell ref="X21:Y21"/>
    <mergeCell ref="X30:Y30"/>
    <mergeCell ref="X31:Y32"/>
    <mergeCell ref="B1:AM1"/>
    <mergeCell ref="V4:V5"/>
    <mergeCell ref="AM4:AM5"/>
    <mergeCell ref="X6:Y6"/>
    <mergeCell ref="K18:U18"/>
    <mergeCell ref="X18:Y18"/>
    <mergeCell ref="AB18:AL18"/>
    <mergeCell ref="A2:H2"/>
    <mergeCell ref="J2:AM2"/>
    <mergeCell ref="C3:D3"/>
    <mergeCell ref="E3:F3"/>
    <mergeCell ref="G3:H3"/>
    <mergeCell ref="K3:U3"/>
    <mergeCell ref="X3:Y3"/>
    <mergeCell ref="AB3:AL3"/>
  </mergeCells>
  <pageMargins left="0.7" right="0.7" top="0.75" bottom="0.75" header="0.3" footer="0.3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8EF3E-47CC-433F-AA45-CD4CCA485B92}">
  <sheetPr>
    <pageSetUpPr fitToPage="1"/>
  </sheetPr>
  <dimension ref="A1:AO87"/>
  <sheetViews>
    <sheetView workbookViewId="0">
      <selection activeCell="B1" sqref="B1"/>
    </sheetView>
  </sheetViews>
  <sheetFormatPr defaultRowHeight="15" outlineLevelCol="2"/>
  <cols>
    <col min="1" max="1" width="36.42578125" bestFit="1" customWidth="1"/>
    <col min="2" max="2" width="30.140625" bestFit="1" customWidth="1"/>
    <col min="3" max="3" width="11.5703125" customWidth="1"/>
    <col min="4" max="5" width="10.7109375" customWidth="1"/>
    <col min="6" max="6" width="10.140625" customWidth="1"/>
    <col min="7" max="7" width="9.42578125" hidden="1" customWidth="1" outlineLevel="1"/>
    <col min="8" max="8" width="8.5703125" hidden="1" customWidth="1" outlineLevel="1"/>
    <col min="9" max="9" width="10.7109375" customWidth="1" collapsed="1"/>
    <col min="10" max="10" width="10.7109375" customWidth="1"/>
    <col min="11" max="11" width="3.28515625" customWidth="1"/>
    <col min="12" max="12" width="0.5703125" hidden="1" customWidth="1" outlineLevel="1"/>
    <col min="13" max="13" width="10.7109375" hidden="1" customWidth="1" outlineLevel="1" collapsed="1"/>
    <col min="14" max="17" width="10.7109375" hidden="1" customWidth="1" outlineLevel="1"/>
    <col min="18" max="18" width="10.85546875" hidden="1" customWidth="1" outlineLevel="1"/>
    <col min="19" max="22" width="9.140625" hidden="1" customWidth="1" outlineLevel="2"/>
    <col min="23" max="23" width="2.140625" hidden="1" customWidth="1" outlineLevel="2"/>
    <col min="24" max="24" width="9.140625" hidden="1" customWidth="1" outlineLevel="1" collapsed="1"/>
    <col min="25" max="25" width="3" customWidth="1" collapsed="1"/>
    <col min="26" max="26" width="23.7109375" customWidth="1"/>
    <col min="27" max="27" width="18.140625" bestFit="1" customWidth="1"/>
    <col min="28" max="28" width="16.5703125" customWidth="1"/>
    <col min="29" max="29" width="20.7109375" hidden="1" customWidth="1" outlineLevel="1"/>
    <col min="30" max="30" width="14" customWidth="1" collapsed="1"/>
    <col min="31" max="33" width="10.7109375" customWidth="1"/>
    <col min="34" max="34" width="12.7109375" customWidth="1"/>
    <col min="35" max="39" width="12.7109375" hidden="1" customWidth="1" outlineLevel="1"/>
    <col min="40" max="40" width="2.28515625" hidden="1" customWidth="1" outlineLevel="1"/>
    <col min="41" max="41" width="12.7109375" customWidth="1" collapsed="1"/>
    <col min="42" max="42" width="12.7109375" customWidth="1"/>
  </cols>
  <sheetData>
    <row r="1" spans="1:41" ht="25.5" customHeight="1">
      <c r="A1" s="237" t="s">
        <v>248</v>
      </c>
      <c r="B1" s="237" t="s">
        <v>249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</row>
    <row r="2" spans="1:41" ht="18.75">
      <c r="A2" s="555" t="s">
        <v>35</v>
      </c>
      <c r="B2" s="566"/>
      <c r="C2" s="566"/>
      <c r="D2" s="566"/>
      <c r="E2" s="566"/>
      <c r="F2" s="566"/>
      <c r="G2" s="566"/>
      <c r="H2" s="566"/>
      <c r="I2" s="566"/>
      <c r="J2" s="567"/>
      <c r="K2" s="7"/>
      <c r="L2" s="540" t="s">
        <v>36</v>
      </c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2"/>
    </row>
    <row r="3" spans="1:41" ht="15.75" customHeight="1">
      <c r="A3" s="84"/>
      <c r="C3" s="561" t="s">
        <v>250</v>
      </c>
      <c r="D3" s="562"/>
      <c r="E3" s="561" t="s">
        <v>144</v>
      </c>
      <c r="F3" s="562"/>
      <c r="G3" s="561" t="s">
        <v>37</v>
      </c>
      <c r="H3" s="562"/>
      <c r="I3" s="568" t="s">
        <v>39</v>
      </c>
      <c r="J3" s="569"/>
      <c r="L3" s="177" t="s">
        <v>40</v>
      </c>
      <c r="M3" s="547" t="s">
        <v>41</v>
      </c>
      <c r="N3" s="534"/>
      <c r="O3" s="534"/>
      <c r="P3" s="534"/>
      <c r="Q3" s="534"/>
      <c r="R3" s="534"/>
      <c r="S3" s="534"/>
      <c r="T3" s="534"/>
      <c r="U3" s="534"/>
      <c r="V3" s="534"/>
      <c r="W3" s="535"/>
      <c r="X3" s="28"/>
      <c r="Y3" s="116"/>
      <c r="Z3" s="548" t="s">
        <v>42</v>
      </c>
      <c r="AA3" s="549"/>
      <c r="AB3" s="116"/>
      <c r="AC3" s="27" t="s">
        <v>40</v>
      </c>
      <c r="AD3" s="533" t="s">
        <v>20</v>
      </c>
      <c r="AE3" s="534"/>
      <c r="AF3" s="534"/>
      <c r="AG3" s="534"/>
      <c r="AH3" s="534"/>
      <c r="AI3" s="534"/>
      <c r="AJ3" s="534"/>
      <c r="AK3" s="534"/>
      <c r="AL3" s="534"/>
      <c r="AM3" s="534"/>
      <c r="AN3" s="535"/>
      <c r="AO3" s="117"/>
    </row>
    <row r="4" spans="1:41" ht="16.5" customHeight="1">
      <c r="A4" s="85" t="s">
        <v>43</v>
      </c>
      <c r="B4" s="5" t="s">
        <v>44</v>
      </c>
      <c r="C4" s="83">
        <f>AA10</f>
        <v>75100.2</v>
      </c>
      <c r="E4" s="83">
        <f>AA11</f>
        <v>5153.4700000000012</v>
      </c>
      <c r="G4" s="468"/>
      <c r="I4" s="153">
        <f>AA10+AA11+G4</f>
        <v>80253.67</v>
      </c>
      <c r="J4" s="86">
        <f>D4+F4</f>
        <v>0</v>
      </c>
      <c r="L4" s="178" t="s">
        <v>45</v>
      </c>
      <c r="M4" s="32"/>
      <c r="N4" s="31"/>
      <c r="O4" s="170"/>
      <c r="P4" s="32"/>
      <c r="Q4" s="32"/>
      <c r="R4" s="32"/>
      <c r="S4" s="32"/>
      <c r="T4" s="32"/>
      <c r="U4" s="32"/>
      <c r="V4" s="32"/>
      <c r="W4" s="32"/>
      <c r="X4" s="527" t="s">
        <v>51</v>
      </c>
      <c r="Y4" s="116"/>
      <c r="Z4" s="33" t="s">
        <v>52</v>
      </c>
      <c r="AA4" s="34">
        <f>X6</f>
        <v>1</v>
      </c>
      <c r="AB4" s="116"/>
      <c r="AC4" s="30" t="s">
        <v>45</v>
      </c>
      <c r="AD4" s="32" t="s">
        <v>198</v>
      </c>
      <c r="AE4" s="31" t="s">
        <v>199</v>
      </c>
      <c r="AF4" s="170" t="s">
        <v>200</v>
      </c>
      <c r="AG4" s="32" t="s">
        <v>201</v>
      </c>
      <c r="AH4" s="32" t="s">
        <v>202</v>
      </c>
      <c r="AI4" s="466">
        <v>45231</v>
      </c>
      <c r="AJ4" s="32"/>
      <c r="AK4" s="32"/>
      <c r="AL4" s="32"/>
      <c r="AM4" s="32"/>
      <c r="AN4" s="32"/>
      <c r="AO4" s="529" t="s">
        <v>51</v>
      </c>
    </row>
    <row r="5" spans="1:41">
      <c r="A5" s="85" t="s">
        <v>53</v>
      </c>
      <c r="B5" s="5" t="s">
        <v>54</v>
      </c>
      <c r="C5" s="192">
        <f>C6+C7+C8+C9+C10+C11+C13+C14+C16+C15+C12</f>
        <v>45339.041786458154</v>
      </c>
      <c r="D5" s="5"/>
      <c r="E5" s="192">
        <f>E6+E7+E8+E9+E10+E11+E13+E14+E16+E15+E12</f>
        <v>6080.512328232001</v>
      </c>
      <c r="F5" s="5"/>
      <c r="G5" s="192">
        <f>G6+G7+G8+G9+G10+G11+G13+G14+G16+G15+G12</f>
        <v>0</v>
      </c>
      <c r="H5" s="5"/>
      <c r="I5" s="472">
        <f>C5+E5+G5</f>
        <v>51419.554114690152</v>
      </c>
      <c r="J5" s="87"/>
      <c r="L5" s="179"/>
      <c r="M5" s="189">
        <v>1</v>
      </c>
      <c r="N5" s="80">
        <v>2</v>
      </c>
      <c r="O5" s="80">
        <v>3</v>
      </c>
      <c r="P5" s="80">
        <v>4</v>
      </c>
      <c r="Q5" s="80">
        <v>5</v>
      </c>
      <c r="R5" s="80">
        <v>6</v>
      </c>
      <c r="S5" s="80"/>
      <c r="T5" s="80"/>
      <c r="U5" s="80"/>
      <c r="V5" s="80"/>
      <c r="W5" s="36"/>
      <c r="X5" s="528"/>
      <c r="Z5" s="37" t="s">
        <v>55</v>
      </c>
      <c r="AA5" s="38">
        <f>P7+X8</f>
        <v>6.8621255336204182E-2</v>
      </c>
      <c r="AC5" s="35"/>
      <c r="AD5" s="80">
        <v>1</v>
      </c>
      <c r="AE5" s="80">
        <v>2</v>
      </c>
      <c r="AF5" s="80">
        <v>3</v>
      </c>
      <c r="AG5" s="80">
        <v>4</v>
      </c>
      <c r="AH5" s="80">
        <v>5</v>
      </c>
      <c r="AI5" s="80">
        <v>6</v>
      </c>
      <c r="AJ5" s="36">
        <v>7</v>
      </c>
      <c r="AK5" s="36">
        <v>8</v>
      </c>
      <c r="AL5" s="36">
        <v>9</v>
      </c>
      <c r="AM5" s="36">
        <v>10</v>
      </c>
      <c r="AN5" s="36">
        <v>11</v>
      </c>
      <c r="AO5" s="530"/>
    </row>
    <row r="6" spans="1:41">
      <c r="A6" s="88" t="s">
        <v>56</v>
      </c>
      <c r="B6" s="81" t="s">
        <v>57</v>
      </c>
      <c r="C6" s="135">
        <f>1145.67+837.22+449.79+67.33+347.82+472.54+39.36+154.09+320.72+15.92+121.47+119.16+573.24+299.75+116.76+750+C69+66.07+311.92</f>
        <v>10854.474049425537</v>
      </c>
      <c r="D6" s="140">
        <f>C6+C7+C8</f>
        <v>11409.474049425537</v>
      </c>
      <c r="E6" s="22">
        <f>145+135.39+70.99+22.95+69.66+191.76+51.09+485.32</f>
        <v>1172.1600000000001</v>
      </c>
      <c r="F6" s="156">
        <f>E6+E7+E8</f>
        <v>1842.16</v>
      </c>
      <c r="G6" s="19"/>
      <c r="H6" s="89">
        <f>G6+G7+G8</f>
        <v>0</v>
      </c>
      <c r="I6" s="467">
        <f t="shared" ref="I6:I16" si="0">C6+E6+G6</f>
        <v>12026.634049425536</v>
      </c>
      <c r="J6" s="90">
        <f>I6+I7+I8</f>
        <v>13251.634049425536</v>
      </c>
      <c r="L6" s="180"/>
      <c r="M6" s="40">
        <v>0.25</v>
      </c>
      <c r="N6" s="40">
        <v>0.5</v>
      </c>
      <c r="O6" s="40">
        <v>0.75</v>
      </c>
      <c r="P6" s="40">
        <v>1</v>
      </c>
      <c r="Q6" s="40"/>
      <c r="R6" s="40"/>
      <c r="S6" s="40"/>
      <c r="T6" s="40"/>
      <c r="U6" s="40"/>
      <c r="V6" s="40"/>
      <c r="W6" s="41"/>
      <c r="X6" s="40">
        <f>P6</f>
        <v>1</v>
      </c>
      <c r="Z6" s="531" t="s">
        <v>58</v>
      </c>
      <c r="AA6" s="532"/>
      <c r="AC6" s="42"/>
      <c r="AD6" s="43">
        <f>AO6/4</f>
        <v>200.25</v>
      </c>
      <c r="AE6" s="43">
        <f>AD6</f>
        <v>200.25</v>
      </c>
      <c r="AF6" s="43">
        <f>AD6</f>
        <v>200.25</v>
      </c>
      <c r="AG6" s="43">
        <f>AD6</f>
        <v>200.25</v>
      </c>
      <c r="AH6" s="43"/>
      <c r="AI6" s="43"/>
      <c r="AJ6" s="44"/>
      <c r="AK6" s="44"/>
      <c r="AL6" s="44"/>
      <c r="AM6" s="44"/>
      <c r="AN6" s="44"/>
      <c r="AO6" s="121">
        <v>801</v>
      </c>
    </row>
    <row r="7" spans="1:41">
      <c r="A7" s="91" t="s">
        <v>59</v>
      </c>
      <c r="B7" s="92" t="s">
        <v>60</v>
      </c>
      <c r="C7" s="134">
        <f>175+230</f>
        <v>405</v>
      </c>
      <c r="D7" s="89"/>
      <c r="E7" s="134">
        <v>270</v>
      </c>
      <c r="F7" s="13"/>
      <c r="G7" s="19"/>
      <c r="H7" s="89"/>
      <c r="I7" s="467">
        <f t="shared" si="0"/>
        <v>675</v>
      </c>
      <c r="J7" s="90"/>
      <c r="L7" s="181"/>
      <c r="M7" s="48"/>
      <c r="N7" s="46"/>
      <c r="O7" s="46"/>
      <c r="P7" s="46"/>
      <c r="Q7" s="46"/>
      <c r="R7" s="46"/>
      <c r="S7" s="46"/>
      <c r="T7" s="46"/>
      <c r="U7" s="46"/>
      <c r="V7" s="46"/>
      <c r="W7" s="47"/>
      <c r="X7" s="48">
        <f>R7</f>
        <v>0</v>
      </c>
      <c r="Z7" s="49" t="s">
        <v>52</v>
      </c>
      <c r="AA7" s="50">
        <f>AO6/AA13</f>
        <v>9.5676063067367423</v>
      </c>
      <c r="AC7" s="51"/>
      <c r="AD7" s="52">
        <v>209</v>
      </c>
      <c r="AE7" s="53">
        <v>209</v>
      </c>
      <c r="AF7" s="53">
        <v>209</v>
      </c>
      <c r="AG7" s="53">
        <v>216</v>
      </c>
      <c r="AH7" s="53">
        <v>146</v>
      </c>
      <c r="AI7" s="53"/>
      <c r="AJ7" s="54"/>
      <c r="AK7" s="54"/>
      <c r="AL7" s="54"/>
      <c r="AM7" s="54"/>
      <c r="AN7" s="54"/>
      <c r="AO7" s="167">
        <f>AD7+AE7+AF7+AG7+AH7+AI7+AN7+AJ7+AK7+AL7+AM7</f>
        <v>989</v>
      </c>
    </row>
    <row r="8" spans="1:41">
      <c r="A8" s="93" t="s">
        <v>61</v>
      </c>
      <c r="B8" s="82" t="s">
        <v>62</v>
      </c>
      <c r="C8" s="20">
        <v>150</v>
      </c>
      <c r="D8" s="94"/>
      <c r="E8" s="20">
        <v>400</v>
      </c>
      <c r="F8" s="14"/>
      <c r="G8" s="20"/>
      <c r="H8" s="94"/>
      <c r="I8" s="467">
        <f t="shared" si="0"/>
        <v>550</v>
      </c>
      <c r="J8" s="95"/>
      <c r="L8" s="182"/>
      <c r="M8" s="55"/>
      <c r="N8" s="55"/>
      <c r="O8" s="55"/>
      <c r="P8" s="56"/>
      <c r="Q8" s="57"/>
      <c r="R8" s="56">
        <f>AA11/AA10</f>
        <v>6.8621255336204182E-2</v>
      </c>
      <c r="S8" s="55"/>
      <c r="T8" s="55"/>
      <c r="U8" s="58"/>
      <c r="V8" s="58"/>
      <c r="W8" s="58"/>
      <c r="X8" s="56">
        <f>SUM(M8:W8)</f>
        <v>6.8621255336204182E-2</v>
      </c>
      <c r="Z8" s="59" t="s">
        <v>55</v>
      </c>
      <c r="AA8" s="77">
        <f>AO7/AA13</f>
        <v>11.813186813186814</v>
      </c>
      <c r="AO8" s="105"/>
    </row>
    <row r="9" spans="1:41">
      <c r="A9" s="88" t="s">
        <v>63</v>
      </c>
      <c r="B9" s="81" t="s">
        <v>64</v>
      </c>
      <c r="C9" s="169">
        <f>(4742.95+1614.5+907.15/13*5)*1.42</f>
        <v>9523.0224615384595</v>
      </c>
      <c r="D9" s="137">
        <f>C9+C10+C11+C13+C12</f>
        <v>23368.077737032614</v>
      </c>
      <c r="E9" s="367">
        <f>(((53.8+45.7)*15+(45.7+13)*14)-E13)*1.42</f>
        <v>2079.306</v>
      </c>
      <c r="F9" s="137">
        <f>E9+E10+E11+E13+E12</f>
        <v>3986.1423282320006</v>
      </c>
      <c r="G9" s="473"/>
      <c r="H9" s="6">
        <f>G9+G10+G11+G13+G12</f>
        <v>0</v>
      </c>
      <c r="I9" s="467">
        <f t="shared" si="0"/>
        <v>11602.32846153846</v>
      </c>
      <c r="J9" s="96">
        <f>I9+I10+I11+I13+I12</f>
        <v>27354.220065264613</v>
      </c>
      <c r="L9" s="84"/>
      <c r="AO9" s="105"/>
    </row>
    <row r="10" spans="1:41">
      <c r="A10" s="91" t="s">
        <v>65</v>
      </c>
      <c r="B10" s="92" t="s">
        <v>66</v>
      </c>
      <c r="C10" s="134">
        <f>C9*0.2359</f>
        <v>2246.4809986769228</v>
      </c>
      <c r="D10" s="89"/>
      <c r="E10" s="134">
        <f>E9*0.2359</f>
        <v>490.50828540000003</v>
      </c>
      <c r="F10" s="89"/>
      <c r="G10" s="19"/>
      <c r="H10" s="89"/>
      <c r="I10" s="467">
        <f t="shared" si="0"/>
        <v>2736.989284076923</v>
      </c>
      <c r="J10" s="95"/>
      <c r="L10" s="84"/>
      <c r="Z10" s="10" t="s">
        <v>67</v>
      </c>
      <c r="AA10" s="146">
        <v>75100.2</v>
      </c>
      <c r="AO10" s="105"/>
    </row>
    <row r="11" spans="1:41">
      <c r="A11" s="91" t="s">
        <v>68</v>
      </c>
      <c r="B11" s="92" t="s">
        <v>69</v>
      </c>
      <c r="C11" s="134">
        <f>(C9+C10)*0.08</f>
        <v>941.5602768172306</v>
      </c>
      <c r="D11" s="89"/>
      <c r="E11" s="134">
        <f>(E9+E10)*0.08</f>
        <v>205.58514283200003</v>
      </c>
      <c r="F11" s="89"/>
      <c r="G11" s="19"/>
      <c r="H11" s="89"/>
      <c r="I11" s="467">
        <f t="shared" si="0"/>
        <v>1147.1454196492307</v>
      </c>
      <c r="J11" s="95"/>
      <c r="L11" s="84"/>
      <c r="Z11" s="62" t="s">
        <v>70</v>
      </c>
      <c r="AA11" s="499">
        <f>1700+C57-C64+G4</f>
        <v>5153.4700000000012</v>
      </c>
      <c r="AO11" s="105"/>
    </row>
    <row r="12" spans="1:41">
      <c r="A12" s="97" t="s">
        <v>71</v>
      </c>
      <c r="B12" s="98" t="s">
        <v>72</v>
      </c>
      <c r="C12" s="135">
        <f>(C4)*0.07</f>
        <v>5257.0140000000001</v>
      </c>
      <c r="D12" s="131"/>
      <c r="E12" s="135">
        <f>(E4)*0.07</f>
        <v>360.74290000000013</v>
      </c>
      <c r="F12" s="131"/>
      <c r="G12" s="22"/>
      <c r="H12" s="131"/>
      <c r="I12" s="467">
        <f t="shared" si="0"/>
        <v>5617.7569000000003</v>
      </c>
      <c r="J12" s="95"/>
      <c r="L12" s="84"/>
      <c r="AO12" s="105"/>
    </row>
    <row r="13" spans="1:41">
      <c r="A13" s="91" t="s">
        <v>73</v>
      </c>
      <c r="B13" s="92" t="s">
        <v>74</v>
      </c>
      <c r="C13" s="139">
        <f>108*50</f>
        <v>5400</v>
      </c>
      <c r="D13" s="133"/>
      <c r="E13" s="370">
        <f>17*50</f>
        <v>850</v>
      </c>
      <c r="F13" s="133"/>
      <c r="G13" s="132"/>
      <c r="H13" s="133"/>
      <c r="I13" s="467">
        <f t="shared" si="0"/>
        <v>6250</v>
      </c>
      <c r="J13" s="99"/>
      <c r="L13" s="84"/>
      <c r="Z13" s="64" t="s">
        <v>75</v>
      </c>
      <c r="AA13" s="65">
        <v>83.72</v>
      </c>
      <c r="AO13" s="105"/>
    </row>
    <row r="14" spans="1:41">
      <c r="A14" s="100" t="s">
        <v>76</v>
      </c>
      <c r="B14" s="81" t="s">
        <v>77</v>
      </c>
      <c r="C14" s="22">
        <f>3419.74-300+436.92+70+404.4+263.01+474.42+255.35</f>
        <v>5023.84</v>
      </c>
      <c r="D14" s="89">
        <f>C14+C16+C15</f>
        <v>10561.49</v>
      </c>
      <c r="E14" s="22"/>
      <c r="F14" s="13">
        <f>E14+E16+E15</f>
        <v>252.20999999999998</v>
      </c>
      <c r="G14" s="19"/>
      <c r="H14" s="89">
        <f>G14+G16+G15</f>
        <v>0</v>
      </c>
      <c r="I14" s="467">
        <f t="shared" si="0"/>
        <v>5023.84</v>
      </c>
      <c r="J14" s="95">
        <f>I14+I16+I15</f>
        <v>10813.7</v>
      </c>
      <c r="L14" s="84"/>
      <c r="Z14" s="66" t="s">
        <v>78</v>
      </c>
      <c r="AA14" s="66" t="s">
        <v>79</v>
      </c>
      <c r="AO14" s="105"/>
    </row>
    <row r="15" spans="1:41">
      <c r="A15" s="101" t="s">
        <v>80</v>
      </c>
      <c r="B15" s="92" t="s">
        <v>81</v>
      </c>
      <c r="C15" s="135">
        <f>106.99+727.5+77.99+26.94+40-158.63-143+164.37+190.33+125.63+238+165.99+141.99+328.98+196.61+333.81-1252.88+27.53+389.98+147.5+32.68+95.84+53.58+27.75</f>
        <v>2085.48</v>
      </c>
      <c r="D15" s="89"/>
      <c r="E15" s="22">
        <v>204.29</v>
      </c>
      <c r="F15" s="13"/>
      <c r="G15" s="19"/>
      <c r="H15" s="89"/>
      <c r="I15" s="467">
        <f t="shared" si="0"/>
        <v>2289.77</v>
      </c>
      <c r="J15" s="95"/>
      <c r="L15" s="84"/>
      <c r="Z15" s="67" t="s">
        <v>82</v>
      </c>
      <c r="AA15" s="68">
        <v>13</v>
      </c>
      <c r="AO15" s="105"/>
    </row>
    <row r="16" spans="1:41">
      <c r="A16" s="91" t="s">
        <v>83</v>
      </c>
      <c r="B16" s="92" t="s">
        <v>84</v>
      </c>
      <c r="C16" s="19">
        <f>207.68+125+1172.17+467.38+30+126.64+7.76+15.14+29.68+109.4+15.98+26.92+26.96+17.92+50.4+15.14+36.29+23.66+58.1+455.89+314+120.06</f>
        <v>3452.1699999999996</v>
      </c>
      <c r="D16" s="89"/>
      <c r="E16" s="19">
        <f>17.39+17.62+12.91</f>
        <v>47.92</v>
      </c>
      <c r="F16" s="13"/>
      <c r="G16" s="19"/>
      <c r="H16" s="89"/>
      <c r="I16" s="467">
        <f t="shared" si="0"/>
        <v>3500.0899999999997</v>
      </c>
      <c r="J16" s="95"/>
      <c r="L16" s="84"/>
      <c r="Z16" s="67" t="s">
        <v>85</v>
      </c>
      <c r="AA16" s="68">
        <v>12</v>
      </c>
      <c r="AO16" s="105"/>
    </row>
    <row r="17" spans="1:41">
      <c r="A17" s="85" t="s">
        <v>86</v>
      </c>
      <c r="B17" s="5" t="s">
        <v>87</v>
      </c>
      <c r="C17" s="185">
        <f>C4-C5</f>
        <v>29761.158213541843</v>
      </c>
      <c r="D17" s="129">
        <f>C17/C4</f>
        <v>0.3962860047448854</v>
      </c>
      <c r="E17" s="197">
        <f>E4-E5</f>
        <v>-927.04232823199982</v>
      </c>
      <c r="F17" s="130">
        <f>E17/E4</f>
        <v>-0.1798870136494439</v>
      </c>
      <c r="G17" s="197">
        <f>G4-G5</f>
        <v>0</v>
      </c>
      <c r="H17" s="130" t="e">
        <f>G17/G4</f>
        <v>#DIV/0!</v>
      </c>
      <c r="I17" s="16">
        <f>I4-I5</f>
        <v>28834.115885309846</v>
      </c>
      <c r="J17" s="102">
        <f>I17/I4</f>
        <v>0.35928719378577761</v>
      </c>
      <c r="L17" s="84"/>
      <c r="AO17" s="105"/>
    </row>
    <row r="18" spans="1:41" ht="20.25" customHeight="1">
      <c r="A18" s="103"/>
      <c r="B18" s="104"/>
      <c r="C18" s="104"/>
      <c r="D18" s="104"/>
      <c r="E18" s="104"/>
      <c r="F18" s="104"/>
      <c r="G18" s="104"/>
      <c r="H18" s="104"/>
      <c r="J18" s="105"/>
      <c r="L18" s="115" t="s">
        <v>40</v>
      </c>
      <c r="M18" s="533" t="s">
        <v>88</v>
      </c>
      <c r="N18" s="534"/>
      <c r="O18" s="534"/>
      <c r="P18" s="534"/>
      <c r="Q18" s="534"/>
      <c r="R18" s="534"/>
      <c r="S18" s="534"/>
      <c r="T18" s="534"/>
      <c r="U18" s="534"/>
      <c r="V18" s="534"/>
      <c r="W18" s="535"/>
      <c r="X18" s="29"/>
      <c r="Z18" s="520" t="s">
        <v>89</v>
      </c>
      <c r="AA18" s="520"/>
      <c r="AC18" s="27" t="s">
        <v>40</v>
      </c>
      <c r="AD18" s="533" t="s">
        <v>90</v>
      </c>
      <c r="AE18" s="534"/>
      <c r="AF18" s="534"/>
      <c r="AG18" s="534"/>
      <c r="AH18" s="534"/>
      <c r="AI18" s="534"/>
      <c r="AJ18" s="534"/>
      <c r="AK18" s="534"/>
      <c r="AL18" s="534"/>
      <c r="AM18" s="534"/>
      <c r="AN18" s="535"/>
      <c r="AO18" s="117"/>
    </row>
    <row r="19" spans="1:41" ht="24" customHeight="1">
      <c r="A19" s="106" t="s">
        <v>91</v>
      </c>
      <c r="B19" s="4" t="s">
        <v>92</v>
      </c>
      <c r="C19" s="107"/>
      <c r="D19" s="107"/>
      <c r="E19" s="107"/>
      <c r="F19" s="107"/>
      <c r="G19" s="107"/>
      <c r="H19" s="107"/>
      <c r="J19" s="105"/>
      <c r="L19" s="118" t="s">
        <v>45</v>
      </c>
      <c r="M19" s="32"/>
      <c r="N19" s="31"/>
      <c r="O19" s="170"/>
      <c r="P19" s="32"/>
      <c r="Q19" s="32"/>
      <c r="R19" s="32"/>
      <c r="S19" s="32"/>
      <c r="T19" s="32"/>
      <c r="U19" s="31"/>
      <c r="V19" s="31"/>
      <c r="W19" s="31"/>
      <c r="X19" s="516" t="s">
        <v>51</v>
      </c>
      <c r="Z19" s="69" t="s">
        <v>52</v>
      </c>
      <c r="AA19" s="50">
        <v>7530</v>
      </c>
      <c r="AC19" s="30" t="s">
        <v>45</v>
      </c>
      <c r="AD19" s="32" t="s">
        <v>198</v>
      </c>
      <c r="AE19" s="31" t="s">
        <v>199</v>
      </c>
      <c r="AF19" s="170" t="s">
        <v>200</v>
      </c>
      <c r="AG19" s="32" t="s">
        <v>251</v>
      </c>
      <c r="AH19" s="32" t="s">
        <v>202</v>
      </c>
      <c r="AI19" s="466">
        <v>45231</v>
      </c>
      <c r="AJ19" s="32"/>
      <c r="AK19" s="32"/>
      <c r="AL19" s="31"/>
      <c r="AM19" s="31"/>
      <c r="AN19" s="31"/>
      <c r="AO19" s="518" t="s">
        <v>51</v>
      </c>
    </row>
    <row r="20" spans="1:41">
      <c r="A20" s="108" t="s">
        <v>93</v>
      </c>
      <c r="B20" s="3">
        <f>J6/I5*100</f>
        <v>25.771584910806627</v>
      </c>
      <c r="C20" s="109"/>
      <c r="D20" s="109"/>
      <c r="E20" s="109"/>
      <c r="F20" s="109"/>
      <c r="G20" s="109"/>
      <c r="H20" s="109"/>
      <c r="J20" s="105"/>
      <c r="L20" s="118"/>
      <c r="M20" s="70">
        <v>1</v>
      </c>
      <c r="N20" s="70">
        <v>2</v>
      </c>
      <c r="O20" s="70">
        <v>3</v>
      </c>
      <c r="P20" s="70">
        <v>4</v>
      </c>
      <c r="Q20" s="70">
        <v>5</v>
      </c>
      <c r="R20" s="70">
        <v>6</v>
      </c>
      <c r="S20" s="70"/>
      <c r="T20" s="70"/>
      <c r="U20" s="70"/>
      <c r="V20" s="70"/>
      <c r="W20" s="70"/>
      <c r="X20" s="517"/>
      <c r="Z20" s="71" t="s">
        <v>55</v>
      </c>
      <c r="AA20" s="77">
        <f>I6</f>
        <v>12026.634049425536</v>
      </c>
      <c r="AC20" s="30"/>
      <c r="AD20" s="70">
        <v>1</v>
      </c>
      <c r="AE20" s="70">
        <v>2</v>
      </c>
      <c r="AF20" s="70">
        <v>3</v>
      </c>
      <c r="AG20" s="70">
        <v>4</v>
      </c>
      <c r="AH20" s="70">
        <v>5</v>
      </c>
      <c r="AI20" s="70">
        <v>6</v>
      </c>
      <c r="AJ20" s="70">
        <v>7</v>
      </c>
      <c r="AK20" s="70">
        <v>8</v>
      </c>
      <c r="AL20" s="70">
        <v>9</v>
      </c>
      <c r="AM20" s="70">
        <v>10</v>
      </c>
      <c r="AN20" s="70">
        <v>11</v>
      </c>
      <c r="AO20" s="519"/>
    </row>
    <row r="21" spans="1:41">
      <c r="A21" s="110" t="s">
        <v>94</v>
      </c>
      <c r="B21" s="3">
        <f>J9/I5*100</f>
        <v>53.198088813161718</v>
      </c>
      <c r="C21" s="109"/>
      <c r="D21" s="109"/>
      <c r="E21" s="109"/>
      <c r="F21" s="109"/>
      <c r="G21" s="109"/>
      <c r="H21" s="109"/>
      <c r="J21" s="105"/>
      <c r="L21" s="125"/>
      <c r="M21" s="73">
        <f>X21/4</f>
        <v>1882.5</v>
      </c>
      <c r="N21" s="73">
        <f>M21</f>
        <v>1882.5</v>
      </c>
      <c r="O21" s="73">
        <f>M21</f>
        <v>1882.5</v>
      </c>
      <c r="P21" s="73">
        <f>M21</f>
        <v>1882.5</v>
      </c>
      <c r="Q21" s="73"/>
      <c r="R21" s="73"/>
      <c r="S21" s="73"/>
      <c r="T21" s="73"/>
      <c r="U21" s="73"/>
      <c r="V21" s="73"/>
      <c r="W21" s="73"/>
      <c r="X21" s="74">
        <f>AA19</f>
        <v>7530</v>
      </c>
      <c r="Z21" s="520" t="s">
        <v>90</v>
      </c>
      <c r="AA21" s="520"/>
      <c r="AC21" s="72"/>
      <c r="AD21" s="73">
        <f>AO21/5</f>
        <v>1190</v>
      </c>
      <c r="AE21" s="73">
        <f>AD21</f>
        <v>1190</v>
      </c>
      <c r="AF21" s="73">
        <f>AD21</f>
        <v>1190</v>
      </c>
      <c r="AG21" s="73">
        <f>AD21</f>
        <v>1190</v>
      </c>
      <c r="AH21" s="73"/>
      <c r="AI21" s="73"/>
      <c r="AJ21" s="73"/>
      <c r="AK21" s="73"/>
      <c r="AL21" s="73"/>
      <c r="AM21" s="73"/>
      <c r="AN21" s="73"/>
      <c r="AO21" s="126">
        <f>AA22</f>
        <v>5950</v>
      </c>
    </row>
    <row r="22" spans="1:41">
      <c r="A22" s="111" t="s">
        <v>95</v>
      </c>
      <c r="B22" s="2">
        <f>J14/I5*100</f>
        <v>21.030326276031658</v>
      </c>
      <c r="C22" s="109"/>
      <c r="D22" s="109"/>
      <c r="E22" s="109"/>
      <c r="F22" s="109"/>
      <c r="G22" s="109"/>
      <c r="H22" s="109"/>
      <c r="J22" s="105"/>
      <c r="L22" s="125"/>
      <c r="M22" s="75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5">
        <f>Q22+P22+O22+N22+M22</f>
        <v>0</v>
      </c>
      <c r="Z22" s="69" t="s">
        <v>52</v>
      </c>
      <c r="AA22" s="50">
        <v>5950</v>
      </c>
      <c r="AC22" s="72"/>
      <c r="AD22" s="75">
        <f>3119.74+106.99+727.5+77.99+26.94+164.37+190.33+125.63</f>
        <v>4539.49</v>
      </c>
      <c r="AE22" s="76">
        <f>436.92+238</f>
        <v>674.92000000000007</v>
      </c>
      <c r="AF22" s="76">
        <f>165.99+141.99+328.98+196.61+333.81+212.77-1252.88+95.84</f>
        <v>223.10999999999999</v>
      </c>
      <c r="AG22" s="76">
        <f>263.01+27.53+389.98+147.5+474.72+32.68+27.75+53+255.35</f>
        <v>1671.52</v>
      </c>
      <c r="AH22" s="76">
        <f>204.29</f>
        <v>204.29</v>
      </c>
      <c r="AI22" s="76"/>
      <c r="AJ22" s="76"/>
      <c r="AK22" s="76"/>
      <c r="AL22" s="76"/>
      <c r="AM22" s="76"/>
      <c r="AN22" s="76"/>
      <c r="AO22" s="165">
        <f t="shared" ref="AO22" si="1">AD22+AE22+AF22+AG22+AH22+AI22+AN22+AJ22+AK22+AL22+AM22</f>
        <v>7313.329999999999</v>
      </c>
    </row>
    <row r="23" spans="1:41">
      <c r="A23" s="84"/>
      <c r="J23" s="105"/>
      <c r="L23" s="84"/>
      <c r="Z23" s="71" t="s">
        <v>55</v>
      </c>
      <c r="AA23" s="77">
        <f>AO22</f>
        <v>7313.329999999999</v>
      </c>
      <c r="AE23" t="s">
        <v>127</v>
      </c>
      <c r="AO23" s="105"/>
    </row>
    <row r="24" spans="1:41">
      <c r="A24" s="84"/>
      <c r="J24" s="105"/>
      <c r="L24" s="84"/>
      <c r="X24" s="128"/>
      <c r="AO24" s="105"/>
    </row>
    <row r="25" spans="1:41" ht="27" customHeight="1">
      <c r="A25" s="84"/>
      <c r="J25" s="105"/>
      <c r="L25" s="84"/>
      <c r="Z25" s="10" t="s">
        <v>96</v>
      </c>
      <c r="AA25" s="145"/>
      <c r="AO25" s="105"/>
    </row>
    <row r="26" spans="1:41" ht="27.75">
      <c r="A26" s="84"/>
      <c r="J26" s="105"/>
      <c r="L26" s="84"/>
      <c r="Z26" s="10" t="s">
        <v>97</v>
      </c>
      <c r="AA26" s="145"/>
      <c r="AO26" s="105"/>
    </row>
    <row r="27" spans="1:41">
      <c r="A27" s="84"/>
      <c r="J27" s="105"/>
      <c r="L27" s="84"/>
      <c r="AO27" s="105"/>
    </row>
    <row r="28" spans="1:41">
      <c r="A28" s="84"/>
      <c r="J28" s="105"/>
      <c r="L28" s="84"/>
      <c r="AO28" s="105"/>
    </row>
    <row r="29" spans="1:41">
      <c r="A29" s="84"/>
      <c r="J29" s="105"/>
      <c r="L29" s="84"/>
      <c r="AO29" s="105"/>
    </row>
    <row r="30" spans="1:41">
      <c r="A30" s="84"/>
      <c r="J30" s="105"/>
      <c r="L30" s="84"/>
      <c r="Z30" s="521" t="s">
        <v>98</v>
      </c>
      <c r="AA30" s="522"/>
      <c r="AO30" s="105"/>
    </row>
    <row r="31" spans="1:41">
      <c r="A31" s="84"/>
      <c r="J31" s="105"/>
      <c r="L31" s="84"/>
      <c r="Z31" s="523">
        <v>45258</v>
      </c>
      <c r="AA31" s="524"/>
      <c r="AO31" s="105"/>
    </row>
    <row r="32" spans="1:41">
      <c r="A32" s="112"/>
      <c r="B32" s="113"/>
      <c r="C32" s="113"/>
      <c r="D32" s="113"/>
      <c r="E32" s="113"/>
      <c r="F32" s="113"/>
      <c r="G32" s="113"/>
      <c r="H32" s="113"/>
      <c r="I32" s="113"/>
      <c r="J32" s="114"/>
      <c r="L32" s="112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525"/>
      <c r="AA32" s="526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4"/>
    </row>
    <row r="36" spans="1:11">
      <c r="A36" s="224" t="s">
        <v>117</v>
      </c>
      <c r="B36" s="223">
        <v>0.3</v>
      </c>
      <c r="C36" s="223">
        <v>0.6</v>
      </c>
      <c r="D36" s="223">
        <v>0.1</v>
      </c>
      <c r="E36" t="s">
        <v>118</v>
      </c>
    </row>
    <row r="37" spans="1:11">
      <c r="A37">
        <v>723835.79</v>
      </c>
      <c r="B37">
        <f>ROUND($A$37*0.3,2)</f>
        <v>217150.74</v>
      </c>
      <c r="C37">
        <f>ROUND($A$37*0.6,2)</f>
        <v>434301.47</v>
      </c>
      <c r="D37">
        <f>ROUND($A$37*0.1,2)</f>
        <v>72383.58</v>
      </c>
      <c r="E37">
        <f>D37+C37+B37</f>
        <v>723835.79</v>
      </c>
      <c r="I37">
        <f>D37+C37+B37</f>
        <v>723835.79</v>
      </c>
      <c r="K37" s="1"/>
    </row>
    <row r="38" spans="1:11">
      <c r="A38" s="363">
        <v>11.476000000000001</v>
      </c>
      <c r="B38" s="363" t="s">
        <v>252</v>
      </c>
      <c r="C38" s="365" t="s">
        <v>253</v>
      </c>
    </row>
    <row r="39" spans="1:11">
      <c r="A39" s="1">
        <f>ROUND(A37/$A$38,2)</f>
        <v>63073.88</v>
      </c>
      <c r="B39" s="1">
        <f t="shared" ref="B39:E39" si="2">ROUND(B37/$A$38,2)</f>
        <v>18922.16</v>
      </c>
      <c r="C39" s="1">
        <f t="shared" si="2"/>
        <v>37844.32</v>
      </c>
      <c r="D39" s="1">
        <f>ROUND(D37/$A$38,2)+0.01</f>
        <v>6307.4000000000005</v>
      </c>
      <c r="E39" s="1">
        <f>SUM(B39:D39)</f>
        <v>63073.88</v>
      </c>
      <c r="I39" s="1">
        <f>D39+C39+B39</f>
        <v>63073.880000000005</v>
      </c>
    </row>
    <row r="41" spans="1:11">
      <c r="A41" t="s">
        <v>120</v>
      </c>
    </row>
    <row r="42" spans="1:11">
      <c r="A42">
        <v>11.62</v>
      </c>
    </row>
    <row r="43" spans="1:11">
      <c r="A43">
        <f>ROUND(A37/A42,2)</f>
        <v>62292.24</v>
      </c>
    </row>
    <row r="44" spans="1:11">
      <c r="A44" s="1">
        <f>A39-A43</f>
        <v>781.63999999999942</v>
      </c>
    </row>
    <row r="45" spans="1:11">
      <c r="A45" t="s">
        <v>254</v>
      </c>
    </row>
    <row r="46" spans="1:11">
      <c r="A46">
        <v>774406.35</v>
      </c>
    </row>
    <row r="48" spans="1:11">
      <c r="A48" t="s">
        <v>255</v>
      </c>
    </row>
    <row r="49" spans="1:27">
      <c r="A49">
        <v>862112.72</v>
      </c>
      <c r="B49" s="1">
        <f>ROUND(A49/11.4795,2)</f>
        <v>75100.2</v>
      </c>
      <c r="C49" s="1">
        <f>C39</f>
        <v>37844.32</v>
      </c>
      <c r="D49">
        <f>A49-B37-C37</f>
        <v>210660.51</v>
      </c>
    </row>
    <row r="50" spans="1:27">
      <c r="A50" s="1">
        <f>ROUND(A49/11.4795,2)</f>
        <v>75100.2</v>
      </c>
      <c r="C50" s="1">
        <f>B39</f>
        <v>18922.16</v>
      </c>
      <c r="Z50">
        <f>20/12*3</f>
        <v>5</v>
      </c>
    </row>
    <row r="51" spans="1:27">
      <c r="C51" s="1">
        <f>B49-C49-C50</f>
        <v>18333.719999999998</v>
      </c>
      <c r="D51" t="s">
        <v>256</v>
      </c>
      <c r="Z51">
        <f>1.6*3</f>
        <v>4.8000000000000007</v>
      </c>
    </row>
    <row r="52" spans="1:27">
      <c r="A52" s="1">
        <f>A49/11.926</f>
        <v>72288.505785678353</v>
      </c>
      <c r="B52" t="s">
        <v>257</v>
      </c>
      <c r="D52" s="1">
        <f>D39-C51</f>
        <v>-12026.319999999996</v>
      </c>
    </row>
    <row r="54" spans="1:27">
      <c r="A54" t="s">
        <v>258</v>
      </c>
    </row>
    <row r="55" spans="1:27">
      <c r="A55" s="379">
        <v>938132.26</v>
      </c>
      <c r="B55" s="1">
        <f>ROUND(A55/11.4795,2)</f>
        <v>81722.399999999994</v>
      </c>
      <c r="C55" s="1">
        <f>C50+C49+C51</f>
        <v>75100.2</v>
      </c>
      <c r="D55">
        <f>A55-B43-C43</f>
        <v>938132.26</v>
      </c>
    </row>
    <row r="56" spans="1:27">
      <c r="A56" s="380">
        <f>ROUND(A55/11.4795,2)</f>
        <v>81722.399999999994</v>
      </c>
      <c r="C56" s="1">
        <v>1700</v>
      </c>
      <c r="D56" t="s">
        <v>259</v>
      </c>
    </row>
    <row r="57" spans="1:27">
      <c r="C57" s="378">
        <f>B55-C55-C56</f>
        <v>4922.1999999999971</v>
      </c>
      <c r="D57" s="363" t="s">
        <v>260</v>
      </c>
    </row>
    <row r="58" spans="1:27">
      <c r="A58" s="1">
        <f>A55/11.5643</f>
        <v>81123.13412830868</v>
      </c>
      <c r="B58" t="s">
        <v>261</v>
      </c>
      <c r="D58" s="1">
        <f>D45-C57</f>
        <v>-4922.1999999999971</v>
      </c>
    </row>
    <row r="59" spans="1:27">
      <c r="A59" s="1"/>
      <c r="D59" s="1"/>
    </row>
    <row r="60" spans="1:27">
      <c r="A60" s="433" t="s">
        <v>262</v>
      </c>
      <c r="B60" s="433"/>
      <c r="C60" s="433"/>
      <c r="D60" s="433"/>
      <c r="E60" s="225"/>
      <c r="F60" s="225"/>
    </row>
    <row r="61" spans="1:27">
      <c r="A61" s="434">
        <v>921271.96</v>
      </c>
      <c r="B61" s="435">
        <f>ROUND(A61/11.4795,2)</f>
        <v>80253.67</v>
      </c>
      <c r="C61" s="435">
        <f>C55</f>
        <v>75100.2</v>
      </c>
      <c r="D61" s="433">
        <f>A61-B49-C49</f>
        <v>808327.44000000006</v>
      </c>
      <c r="E61" s="225"/>
      <c r="F61" s="225"/>
      <c r="Z61" s="565" t="s">
        <v>263</v>
      </c>
      <c r="AA61" s="565"/>
    </row>
    <row r="62" spans="1:27">
      <c r="A62" s="436">
        <f>ROUND(A61/11.4795,2)</f>
        <v>80253.67</v>
      </c>
      <c r="B62" s="433"/>
      <c r="C62" s="435">
        <v>1700</v>
      </c>
      <c r="D62" s="433" t="s">
        <v>259</v>
      </c>
      <c r="E62" s="225"/>
      <c r="F62" s="225"/>
      <c r="Z62" s="445">
        <f>A61</f>
        <v>921271.96</v>
      </c>
      <c r="AA62" s="171" t="s">
        <v>264</v>
      </c>
    </row>
    <row r="63" spans="1:27">
      <c r="A63" s="433"/>
      <c r="B63" s="433"/>
      <c r="C63" s="437">
        <f>B61-C61-C62</f>
        <v>3453.4700000000012</v>
      </c>
      <c r="D63" s="438" t="s">
        <v>260</v>
      </c>
      <c r="E63" s="225"/>
      <c r="F63" s="225"/>
      <c r="Z63" s="439"/>
    </row>
    <row r="64" spans="1:27">
      <c r="A64" s="435">
        <f>A61/11.707</f>
        <v>78694.111215512079</v>
      </c>
      <c r="B64" s="433" t="s">
        <v>261</v>
      </c>
      <c r="C64" s="435">
        <f>C57-C63</f>
        <v>1468.7299999999959</v>
      </c>
      <c r="D64" s="435" t="s">
        <v>265</v>
      </c>
      <c r="E64" s="225"/>
      <c r="F64" s="225"/>
    </row>
    <row r="65" spans="1:31">
      <c r="A65" s="1"/>
      <c r="D65" s="1"/>
      <c r="Z65" s="226" t="s">
        <v>266</v>
      </c>
      <c r="AA65" s="226" t="s">
        <v>267</v>
      </c>
      <c r="AB65" s="226" t="s">
        <v>268</v>
      </c>
      <c r="AC65" s="442"/>
      <c r="AD65" s="577" t="s">
        <v>269</v>
      </c>
      <c r="AE65" s="577"/>
    </row>
    <row r="66" spans="1:31">
      <c r="Z66" s="226" t="s">
        <v>270</v>
      </c>
      <c r="AA66" s="226">
        <v>18922.16</v>
      </c>
      <c r="AB66" s="441">
        <v>45054</v>
      </c>
      <c r="AC66" s="226"/>
      <c r="AD66" s="446" t="s">
        <v>271</v>
      </c>
      <c r="AE66" s="227">
        <f>AA66</f>
        <v>18922.16</v>
      </c>
    </row>
    <row r="67" spans="1:31">
      <c r="Z67" s="226" t="s">
        <v>272</v>
      </c>
      <c r="AA67" s="226">
        <v>37844.32</v>
      </c>
      <c r="AB67" s="440" t="s">
        <v>273</v>
      </c>
      <c r="AC67" s="226"/>
      <c r="AD67" s="442" t="s">
        <v>274</v>
      </c>
      <c r="AE67" s="226">
        <f>AA67</f>
        <v>37844.32</v>
      </c>
    </row>
    <row r="68" spans="1:31">
      <c r="A68" t="s">
        <v>275</v>
      </c>
      <c r="B68">
        <f>SUM(B69:B87)</f>
        <v>53575.89</v>
      </c>
      <c r="C68">
        <v>11.532500000000001</v>
      </c>
      <c r="Z68" s="226" t="s">
        <v>276</v>
      </c>
      <c r="AA68" s="226">
        <v>18333.72</v>
      </c>
      <c r="AB68" s="441">
        <v>45027</v>
      </c>
      <c r="AC68" s="226"/>
      <c r="AD68" s="442"/>
      <c r="AE68" s="226"/>
    </row>
    <row r="69" spans="1:31">
      <c r="C69" s="254">
        <f>B68/C68</f>
        <v>4645.6440494255367</v>
      </c>
      <c r="Z69" s="226" t="s">
        <v>277</v>
      </c>
      <c r="AA69" s="226">
        <v>1700</v>
      </c>
      <c r="AB69" s="440" t="s">
        <v>278</v>
      </c>
      <c r="AC69" s="226"/>
      <c r="AD69" s="442"/>
      <c r="AE69" s="226"/>
    </row>
    <row r="70" spans="1:31">
      <c r="A70" t="s">
        <v>279</v>
      </c>
      <c r="B70">
        <v>2279.17</v>
      </c>
      <c r="C70" s="254"/>
      <c r="Z70" s="226"/>
      <c r="AA70" s="226"/>
      <c r="AB70" s="440"/>
      <c r="AC70" s="226"/>
      <c r="AD70" s="442"/>
      <c r="AE70" s="226"/>
    </row>
    <row r="71" spans="1:31">
      <c r="A71" t="s">
        <v>280</v>
      </c>
      <c r="B71">
        <v>2308.37</v>
      </c>
      <c r="Z71" s="226" t="s">
        <v>281</v>
      </c>
      <c r="AA71" s="226">
        <v>4922.2</v>
      </c>
      <c r="AB71" s="440" t="s">
        <v>282</v>
      </c>
      <c r="AC71" s="226"/>
      <c r="AD71" s="442"/>
      <c r="AE71" s="226"/>
    </row>
    <row r="72" spans="1:31">
      <c r="A72" t="s">
        <v>283</v>
      </c>
      <c r="B72">
        <v>193.42</v>
      </c>
      <c r="Z72" s="443" t="s">
        <v>284</v>
      </c>
      <c r="AA72" s="443">
        <v>-1468.73</v>
      </c>
      <c r="AB72" s="444" t="s">
        <v>282</v>
      </c>
      <c r="AC72" s="443"/>
      <c r="AD72" s="257"/>
      <c r="AE72" s="443"/>
    </row>
    <row r="73" spans="1:31">
      <c r="A73" t="s">
        <v>285</v>
      </c>
      <c r="B73">
        <v>2793.31</v>
      </c>
      <c r="Z73" s="171" t="s">
        <v>286</v>
      </c>
      <c r="AA73" s="171">
        <f>SUM(AA66:AA72)</f>
        <v>80253.67</v>
      </c>
      <c r="AB73" s="578" t="s">
        <v>287</v>
      </c>
      <c r="AC73" s="579"/>
      <c r="AD73" s="580"/>
      <c r="AE73" s="171">
        <f>SUM(AE66:AE72)</f>
        <v>56766.479999999996</v>
      </c>
    </row>
    <row r="74" spans="1:31">
      <c r="A74" t="s">
        <v>288</v>
      </c>
      <c r="B74">
        <v>5350.58</v>
      </c>
    </row>
    <row r="75" spans="1:31">
      <c r="A75" t="s">
        <v>289</v>
      </c>
      <c r="B75">
        <v>3480.5</v>
      </c>
    </row>
    <row r="76" spans="1:31">
      <c r="A76" t="s">
        <v>290</v>
      </c>
      <c r="B76">
        <v>1572.64</v>
      </c>
    </row>
    <row r="77" spans="1:31">
      <c r="A77" t="s">
        <v>291</v>
      </c>
      <c r="B77">
        <v>1752.26</v>
      </c>
    </row>
    <row r="78" spans="1:31">
      <c r="A78" t="s">
        <v>292</v>
      </c>
      <c r="B78">
        <v>5653.97</v>
      </c>
    </row>
    <row r="79" spans="1:31">
      <c r="A79" t="s">
        <v>293</v>
      </c>
      <c r="B79">
        <v>1950.67</v>
      </c>
    </row>
    <row r="80" spans="1:31">
      <c r="A80" t="s">
        <v>294</v>
      </c>
      <c r="B80">
        <v>2852</v>
      </c>
    </row>
    <row r="81" spans="1:2">
      <c r="A81" t="s">
        <v>295</v>
      </c>
      <c r="B81">
        <v>5564</v>
      </c>
    </row>
    <row r="82" spans="1:2">
      <c r="A82" t="s">
        <v>296</v>
      </c>
      <c r="B82">
        <v>4553</v>
      </c>
    </row>
    <row r="83" spans="1:2">
      <c r="A83" t="s">
        <v>297</v>
      </c>
      <c r="B83">
        <v>944</v>
      </c>
    </row>
    <row r="84" spans="1:2">
      <c r="A84" t="s">
        <v>298</v>
      </c>
      <c r="B84">
        <v>671</v>
      </c>
    </row>
    <row r="85" spans="1:2">
      <c r="A85" t="s">
        <v>299</v>
      </c>
      <c r="B85">
        <v>5140</v>
      </c>
    </row>
    <row r="86" spans="1:2">
      <c r="A86" t="s">
        <v>300</v>
      </c>
      <c r="B86">
        <v>2888</v>
      </c>
    </row>
    <row r="87" spans="1:2">
      <c r="A87" t="s">
        <v>301</v>
      </c>
      <c r="B87">
        <v>3629</v>
      </c>
    </row>
  </sheetData>
  <mergeCells count="23">
    <mergeCell ref="A2:J2"/>
    <mergeCell ref="L2:AO2"/>
    <mergeCell ref="C3:D3"/>
    <mergeCell ref="E3:F3"/>
    <mergeCell ref="G3:H3"/>
    <mergeCell ref="I3:J3"/>
    <mergeCell ref="M3:W3"/>
    <mergeCell ref="Z3:AA3"/>
    <mergeCell ref="AD3:AN3"/>
    <mergeCell ref="X4:X5"/>
    <mergeCell ref="AO4:AO5"/>
    <mergeCell ref="Z6:AA6"/>
    <mergeCell ref="M18:W18"/>
    <mergeCell ref="Z18:AA18"/>
    <mergeCell ref="AD18:AN18"/>
    <mergeCell ref="Z61:AA61"/>
    <mergeCell ref="AD65:AE65"/>
    <mergeCell ref="AB73:AD73"/>
    <mergeCell ref="X19:X20"/>
    <mergeCell ref="AO19:AO20"/>
    <mergeCell ref="Z21:AA21"/>
    <mergeCell ref="Z30:AA30"/>
    <mergeCell ref="Z31:AA32"/>
  </mergeCells>
  <conditionalFormatting sqref="AA23">
    <cfRule type="cellIs" dxfId="24" priority="2" operator="greaterThan">
      <formula>$AA$22</formula>
    </cfRule>
  </conditionalFormatting>
  <conditionalFormatting sqref="AA20">
    <cfRule type="cellIs" dxfId="23" priority="1" operator="greaterThan">
      <formula>$AA$19</formula>
    </cfRule>
  </conditionalFormatting>
  <hyperlinks>
    <hyperlink ref="C38" r:id="rId1" xr:uid="{21E5886B-71F6-4B42-A0F4-C848277FCAE6}"/>
  </hyperlinks>
  <pageMargins left="0.7" right="0.7" top="0.75" bottom="0.75" header="0.3" footer="0.3"/>
  <pageSetup paperSize="9" orientation="landscape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8DF4E-0BDE-406F-8C23-E3EB22DA1A57}">
  <sheetPr>
    <pageSetUpPr fitToPage="1"/>
  </sheetPr>
  <dimension ref="A1:AP37"/>
  <sheetViews>
    <sheetView workbookViewId="0">
      <selection activeCell="C9" sqref="C9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0.7109375" hidden="1" customWidth="1" outlineLevel="1"/>
    <col min="6" max="6" width="10.140625" hidden="1" customWidth="1" outlineLevel="1"/>
    <col min="7" max="7" width="10.7109375" hidden="1" customWidth="1" outlineLevel="1"/>
    <col min="8" max="8" width="10.140625" hidden="1" customWidth="1" outlineLevel="1"/>
    <col min="9" max="9" width="10.7109375" customWidth="1" collapsed="1"/>
    <col min="10" max="10" width="10.7109375" customWidth="1"/>
    <col min="11" max="11" width="3.28515625" customWidth="1"/>
    <col min="12" max="12" width="0.5703125" hidden="1" customWidth="1" outlineLevel="1"/>
    <col min="13" max="13" width="10.7109375" hidden="1" customWidth="1" outlineLevel="1" collapsed="1"/>
    <col min="14" max="16" width="10.7109375" hidden="1" customWidth="1" outlineLevel="1"/>
    <col min="17" max="17" width="1.7109375" hidden="1" customWidth="1" outlineLevel="1"/>
    <col min="18" max="18" width="10" hidden="1" customWidth="1" outlineLevel="1"/>
    <col min="19" max="19" width="10.85546875" hidden="1" customWidth="1" outlineLevel="1"/>
    <col min="20" max="20" width="9.7109375" hidden="1" customWidth="1" outlineLevel="1"/>
    <col min="21" max="21" width="10.28515625" hidden="1" customWidth="1" outlineLevel="1"/>
    <col min="22" max="22" width="9.140625" hidden="1" customWidth="1" outlineLevel="1"/>
    <col min="23" max="23" width="3.5703125" hidden="1" customWidth="1" outlineLevel="1"/>
    <col min="24" max="24" width="9.140625" hidden="1" customWidth="1" outlineLevel="1"/>
    <col min="25" max="25" width="3" hidden="1" customWidth="1" outlineLevel="1"/>
    <col min="26" max="26" width="23.7109375" customWidth="1" collapsed="1"/>
    <col min="27" max="27" width="18.140625" bestFit="1" customWidth="1"/>
    <col min="28" max="28" width="2.85546875" customWidth="1"/>
    <col min="29" max="29" width="20.7109375" hidden="1" customWidth="1" outlineLevel="1"/>
    <col min="30" max="30" width="10.7109375" customWidth="1" collapsed="1"/>
    <col min="31" max="33" width="10.7109375" hidden="1" customWidth="1" outlineLevel="1"/>
    <col min="34" max="34" width="12.7109375" hidden="1" customWidth="1" outlineLevel="1"/>
    <col min="35" max="35" width="12.7109375" customWidth="1" collapsed="1"/>
    <col min="36" max="39" width="12.7109375" hidden="1" customWidth="1" outlineLevel="1"/>
    <col min="40" max="40" width="1.7109375" hidden="1" customWidth="1" outlineLevel="1"/>
    <col min="41" max="41" width="12.7109375" customWidth="1" collapsed="1"/>
    <col min="42" max="42" width="12.7109375" customWidth="1"/>
  </cols>
  <sheetData>
    <row r="1" spans="1:42" ht="25.5" customHeight="1">
      <c r="A1" s="237" t="s">
        <v>302</v>
      </c>
      <c r="B1" s="576" t="s">
        <v>303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  <c r="AN1" s="576"/>
      <c r="AO1" s="576"/>
    </row>
    <row r="2" spans="1:42" ht="18.75">
      <c r="A2" s="555" t="s">
        <v>35</v>
      </c>
      <c r="B2" s="556"/>
      <c r="C2" s="574"/>
      <c r="D2" s="574"/>
      <c r="E2" s="556"/>
      <c r="F2" s="556"/>
      <c r="G2" s="556"/>
      <c r="H2" s="556"/>
      <c r="I2" s="556"/>
      <c r="J2" s="557"/>
      <c r="K2" s="7"/>
      <c r="L2" s="558" t="s">
        <v>36</v>
      </c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59"/>
      <c r="AN2" s="559"/>
      <c r="AO2" s="560"/>
      <c r="AP2" s="1">
        <f>J9-I12-I11</f>
        <v>16730.374189999999</v>
      </c>
    </row>
    <row r="3" spans="1:42" ht="15.75" customHeight="1">
      <c r="A3" s="84"/>
      <c r="C3" s="543" t="s">
        <v>304</v>
      </c>
      <c r="D3" s="581"/>
      <c r="E3" s="582"/>
      <c r="F3" s="562"/>
      <c r="G3" s="561"/>
      <c r="H3" s="562"/>
      <c r="I3" s="563" t="s">
        <v>39</v>
      </c>
      <c r="J3" s="564"/>
      <c r="L3" s="177" t="s">
        <v>40</v>
      </c>
      <c r="M3" s="547" t="s">
        <v>41</v>
      </c>
      <c r="N3" s="534"/>
      <c r="O3" s="534"/>
      <c r="P3" s="534"/>
      <c r="Q3" s="534"/>
      <c r="R3" s="534"/>
      <c r="S3" s="534"/>
      <c r="T3" s="534"/>
      <c r="U3" s="534"/>
      <c r="V3" s="534"/>
      <c r="W3" s="535"/>
      <c r="X3" s="28"/>
      <c r="Y3" s="116"/>
      <c r="Z3" s="548" t="s">
        <v>42</v>
      </c>
      <c r="AA3" s="549"/>
      <c r="AB3" s="116"/>
      <c r="AC3" s="27" t="s">
        <v>40</v>
      </c>
      <c r="AD3" s="533" t="s">
        <v>20</v>
      </c>
      <c r="AE3" s="534"/>
      <c r="AF3" s="534"/>
      <c r="AG3" s="534"/>
      <c r="AH3" s="534"/>
      <c r="AI3" s="534"/>
      <c r="AJ3" s="534"/>
      <c r="AK3" s="534"/>
      <c r="AL3" s="534"/>
      <c r="AM3" s="534"/>
      <c r="AN3" s="535"/>
      <c r="AO3" s="339"/>
      <c r="AP3">
        <f>AP2/AO7</f>
        <v>20.08448282112845</v>
      </c>
    </row>
    <row r="4" spans="1:42" ht="16.5" customHeight="1">
      <c r="A4" s="85" t="s">
        <v>43</v>
      </c>
      <c r="B4" s="5" t="s">
        <v>44</v>
      </c>
      <c r="C4" s="83">
        <f>AA10+AA11</f>
        <v>80805.51999999999</v>
      </c>
      <c r="D4" s="11"/>
      <c r="E4" s="267"/>
      <c r="G4" s="83">
        <f>I4*0.7</f>
        <v>56563.863999999987</v>
      </c>
      <c r="I4" s="153">
        <f>AA10+AA11</f>
        <v>80805.51999999999</v>
      </c>
      <c r="J4" s="86">
        <f>D4+F4</f>
        <v>0</v>
      </c>
      <c r="L4" s="178" t="s">
        <v>45</v>
      </c>
      <c r="M4" s="188" t="s">
        <v>305</v>
      </c>
      <c r="N4" s="32" t="s">
        <v>306</v>
      </c>
      <c r="O4" s="31" t="s">
        <v>307</v>
      </c>
      <c r="P4" s="170" t="s">
        <v>308</v>
      </c>
      <c r="Q4" s="32" t="s">
        <v>245</v>
      </c>
      <c r="R4" s="32" t="s">
        <v>309</v>
      </c>
      <c r="S4" s="32"/>
      <c r="T4" s="32"/>
      <c r="U4" s="32"/>
      <c r="V4" s="32"/>
      <c r="W4" s="32"/>
      <c r="X4" s="527" t="s">
        <v>51</v>
      </c>
      <c r="Y4" s="116"/>
      <c r="Z4" s="33" t="s">
        <v>52</v>
      </c>
      <c r="AA4" s="34">
        <v>1</v>
      </c>
      <c r="AB4" s="116"/>
      <c r="AC4" s="30" t="s">
        <v>45</v>
      </c>
      <c r="AD4" s="188" t="s">
        <v>305</v>
      </c>
      <c r="AE4" s="32" t="s">
        <v>306</v>
      </c>
      <c r="AF4" s="31" t="s">
        <v>307</v>
      </c>
      <c r="AG4" s="170" t="s">
        <v>308</v>
      </c>
      <c r="AH4" s="32" t="s">
        <v>245</v>
      </c>
      <c r="AI4" s="32" t="s">
        <v>309</v>
      </c>
      <c r="AJ4" s="32"/>
      <c r="AK4" s="32"/>
      <c r="AL4" s="32"/>
      <c r="AM4" s="32"/>
      <c r="AN4" s="32"/>
      <c r="AO4" s="527" t="s">
        <v>51</v>
      </c>
    </row>
    <row r="5" spans="1:42">
      <c r="A5" s="85" t="s">
        <v>53</v>
      </c>
      <c r="B5" s="5" t="s">
        <v>54</v>
      </c>
      <c r="C5" s="192">
        <f>C6+C7+C8+C9+C10+C11+C13+C14+C16+C15+C12</f>
        <v>43134.150525200006</v>
      </c>
      <c r="D5" s="12"/>
      <c r="E5" s="240">
        <f>E6+E7+E8+E9+E10+E11+E13+E14+E16+E15+E12</f>
        <v>0</v>
      </c>
      <c r="F5" s="5"/>
      <c r="G5" s="192">
        <f>G6+G7+G8+G9+G10+G11+G13+G14+G16+G15+G12</f>
        <v>0</v>
      </c>
      <c r="H5" s="5"/>
      <c r="I5" s="154">
        <f>I6+I7+I8+I9+I10+I11+I13+I14+I16+I15+I12</f>
        <v>43134.150525200006</v>
      </c>
      <c r="J5" s="87"/>
      <c r="L5" s="179"/>
      <c r="M5" s="189">
        <v>1</v>
      </c>
      <c r="N5" s="80">
        <v>2</v>
      </c>
      <c r="O5" s="80">
        <v>3</v>
      </c>
      <c r="P5" s="80">
        <v>4</v>
      </c>
      <c r="Q5" s="80">
        <v>5</v>
      </c>
      <c r="R5" s="80">
        <v>3</v>
      </c>
      <c r="S5" s="80">
        <v>4</v>
      </c>
      <c r="T5" s="80">
        <v>5</v>
      </c>
      <c r="U5" s="80"/>
      <c r="V5" s="80"/>
      <c r="W5" s="36"/>
      <c r="X5" s="528"/>
      <c r="Z5" s="37" t="s">
        <v>55</v>
      </c>
      <c r="AA5" s="38">
        <f>X7+X8</f>
        <v>1.0669350370734598</v>
      </c>
      <c r="AC5" s="35"/>
      <c r="AD5" s="80">
        <v>1</v>
      </c>
      <c r="AE5" s="80">
        <v>2</v>
      </c>
      <c r="AF5" s="80">
        <v>3</v>
      </c>
      <c r="AG5" s="80">
        <v>4</v>
      </c>
      <c r="AH5" s="80">
        <v>5</v>
      </c>
      <c r="AI5" s="80">
        <v>3</v>
      </c>
      <c r="AJ5" s="36">
        <v>4</v>
      </c>
      <c r="AK5" s="36">
        <v>5</v>
      </c>
      <c r="AL5" s="36">
        <v>9</v>
      </c>
      <c r="AM5" s="36">
        <v>10</v>
      </c>
      <c r="AN5" s="36">
        <v>11</v>
      </c>
      <c r="AO5" s="583"/>
    </row>
    <row r="6" spans="1:42">
      <c r="A6" s="88" t="s">
        <v>56</v>
      </c>
      <c r="B6" s="81" t="s">
        <v>57</v>
      </c>
      <c r="C6" s="22">
        <f>6544.22+423.12/2-579.05</f>
        <v>6176.7300000000005</v>
      </c>
      <c r="D6" s="13">
        <f>C6+C7+C8</f>
        <v>13352.68</v>
      </c>
      <c r="E6" s="13"/>
      <c r="F6" s="13">
        <f>E6+E7+E8</f>
        <v>0</v>
      </c>
      <c r="G6" s="22"/>
      <c r="H6" s="13">
        <f>G6+G7+G8</f>
        <v>0</v>
      </c>
      <c r="I6" s="9">
        <f>C6+E6+G6</f>
        <v>6176.7300000000005</v>
      </c>
      <c r="J6" s="90">
        <f>I6+I7+I8</f>
        <v>13352.68</v>
      </c>
      <c r="L6" s="180"/>
      <c r="M6" s="40">
        <v>0.05</v>
      </c>
      <c r="N6" s="40"/>
      <c r="O6" s="40"/>
      <c r="P6" s="40"/>
      <c r="Q6" s="40"/>
      <c r="R6" s="40">
        <v>0.35</v>
      </c>
      <c r="S6" s="40">
        <v>0.65</v>
      </c>
      <c r="T6" s="40">
        <v>1</v>
      </c>
      <c r="U6" s="40"/>
      <c r="V6" s="40"/>
      <c r="W6" s="41"/>
      <c r="X6" s="40">
        <f>T6</f>
        <v>1</v>
      </c>
      <c r="Z6" s="531" t="s">
        <v>58</v>
      </c>
      <c r="AA6" s="532"/>
      <c r="AC6" s="42"/>
      <c r="AD6" s="43">
        <f>AO6/2</f>
        <v>483</v>
      </c>
      <c r="AE6" s="43"/>
      <c r="AF6" s="43"/>
      <c r="AG6" s="43"/>
      <c r="AH6" s="43"/>
      <c r="AI6" s="43">
        <f>AD6</f>
        <v>483</v>
      </c>
      <c r="AJ6" s="44">
        <f>AD6</f>
        <v>483</v>
      </c>
      <c r="AK6" s="44">
        <f>AD6</f>
        <v>483</v>
      </c>
      <c r="AL6" s="44"/>
      <c r="AM6" s="44"/>
      <c r="AN6" s="44"/>
      <c r="AO6" s="360">
        <v>966</v>
      </c>
    </row>
    <row r="7" spans="1:42">
      <c r="A7" s="91" t="s">
        <v>59</v>
      </c>
      <c r="B7" s="92" t="s">
        <v>60</v>
      </c>
      <c r="C7" s="134">
        <f>750+720</f>
        <v>1470</v>
      </c>
      <c r="D7" s="13"/>
      <c r="E7" s="13"/>
      <c r="F7" s="13"/>
      <c r="G7" s="19"/>
      <c r="H7" s="13"/>
      <c r="I7" s="9">
        <f t="shared" ref="I7:I16" si="0">C7+E7+G7</f>
        <v>1470</v>
      </c>
      <c r="J7" s="90"/>
      <c r="L7" s="181"/>
      <c r="M7" s="48"/>
      <c r="N7" s="46"/>
      <c r="O7" s="46"/>
      <c r="P7" s="46"/>
      <c r="Q7" s="46"/>
      <c r="R7" s="46"/>
      <c r="S7" s="46"/>
      <c r="T7" s="46"/>
      <c r="U7" s="46"/>
      <c r="V7" s="46"/>
      <c r="W7" s="47"/>
      <c r="X7" s="48">
        <v>1</v>
      </c>
      <c r="Z7" s="49" t="s">
        <v>52</v>
      </c>
      <c r="AA7" s="50">
        <f>AO6/AA13</f>
        <v>11.2</v>
      </c>
      <c r="AC7" s="51"/>
      <c r="AD7" s="52">
        <v>415</v>
      </c>
      <c r="AE7" s="53"/>
      <c r="AF7" s="53"/>
      <c r="AG7" s="53"/>
      <c r="AH7" s="53"/>
      <c r="AI7" s="53">
        <f>400+18</f>
        <v>418</v>
      </c>
      <c r="AJ7" s="54"/>
      <c r="AK7" s="54"/>
      <c r="AL7" s="54"/>
      <c r="AM7" s="54"/>
      <c r="AN7" s="54"/>
      <c r="AO7" s="361">
        <f t="shared" ref="AO7" si="1">AD7+AE7+AF7+AG7+AH7+AI7+AN7+AJ7+AK7+AL7+AM7</f>
        <v>833</v>
      </c>
    </row>
    <row r="8" spans="1:42">
      <c r="A8" s="93" t="s">
        <v>61</v>
      </c>
      <c r="B8" s="82" t="s">
        <v>62</v>
      </c>
      <c r="C8" s="20">
        <f>422+3376.16+475.41+1432.38</f>
        <v>5705.95</v>
      </c>
      <c r="D8" s="14"/>
      <c r="E8" s="14"/>
      <c r="F8" s="14"/>
      <c r="G8" s="20"/>
      <c r="H8" s="14"/>
      <c r="I8" s="217">
        <f t="shared" si="0"/>
        <v>5705.95</v>
      </c>
      <c r="J8" s="95"/>
      <c r="L8" s="182"/>
      <c r="M8" s="55"/>
      <c r="N8" s="55"/>
      <c r="O8" s="55"/>
      <c r="P8" s="56"/>
      <c r="Q8" s="57"/>
      <c r="R8" s="56"/>
      <c r="S8" s="55"/>
      <c r="T8" s="55"/>
      <c r="U8" s="55"/>
      <c r="V8" s="58"/>
      <c r="W8" s="58"/>
      <c r="X8" s="56">
        <f>AA11/AA10</f>
        <v>6.6935037073459797E-2</v>
      </c>
      <c r="Z8" s="59" t="s">
        <v>55</v>
      </c>
      <c r="AA8" s="77">
        <f>AO7/AA13</f>
        <v>9.6579710144927535</v>
      </c>
      <c r="AO8" s="105"/>
    </row>
    <row r="9" spans="1:42">
      <c r="A9" s="88" t="s">
        <v>63</v>
      </c>
      <c r="B9" s="81" t="s">
        <v>64</v>
      </c>
      <c r="C9" s="367">
        <f>((276*15+129.5*16+149.5*14+130*13+130*12)-C13)*1.42</f>
        <v>9734.1</v>
      </c>
      <c r="D9" s="151">
        <f>C9+C10+C11+C13+C12</f>
        <v>23349.1905252</v>
      </c>
      <c r="E9" s="141"/>
      <c r="F9" s="6">
        <f>E9+E10+E11+E13+E12</f>
        <v>0</v>
      </c>
      <c r="G9" s="148"/>
      <c r="H9" s="137">
        <f>G9+G10+G11+G13+G12</f>
        <v>0</v>
      </c>
      <c r="I9" s="200">
        <f t="shared" si="0"/>
        <v>9734.1</v>
      </c>
      <c r="J9" s="96">
        <f>I9+I10+I11+I13+I12</f>
        <v>23349.1905252</v>
      </c>
      <c r="L9" s="84"/>
      <c r="AO9" s="105"/>
    </row>
    <row r="10" spans="1:42">
      <c r="A10" s="91" t="s">
        <v>65</v>
      </c>
      <c r="B10" s="92" t="s">
        <v>66</v>
      </c>
      <c r="C10" s="134">
        <f>C9*0.2359</f>
        <v>2296.2741900000001</v>
      </c>
      <c r="D10" s="13"/>
      <c r="E10" s="13">
        <f>E9*0.2359</f>
        <v>0</v>
      </c>
      <c r="F10" s="89"/>
      <c r="G10" s="134">
        <f>G9*0.2359</f>
        <v>0</v>
      </c>
      <c r="H10" s="89"/>
      <c r="I10" s="200">
        <f t="shared" si="0"/>
        <v>2296.2741900000001</v>
      </c>
      <c r="J10" s="95"/>
      <c r="L10" s="84"/>
      <c r="Z10" s="10" t="s">
        <v>67</v>
      </c>
      <c r="AA10" s="61">
        <v>75736.12</v>
      </c>
      <c r="AO10" s="105"/>
    </row>
    <row r="11" spans="1:42">
      <c r="A11" s="91" t="s">
        <v>68</v>
      </c>
      <c r="B11" s="92" t="s">
        <v>69</v>
      </c>
      <c r="C11" s="134">
        <f>(C9+C10)*0.08</f>
        <v>962.42993520000005</v>
      </c>
      <c r="D11" s="13"/>
      <c r="E11" s="13">
        <f>(E9+E10)*0.08</f>
        <v>0</v>
      </c>
      <c r="F11" s="89"/>
      <c r="G11" s="134">
        <f>(G9+G10)*0.08</f>
        <v>0</v>
      </c>
      <c r="H11" s="89"/>
      <c r="I11" s="200">
        <f t="shared" si="0"/>
        <v>962.42993520000005</v>
      </c>
      <c r="J11" s="95"/>
      <c r="L11" s="84"/>
      <c r="Z11" s="62" t="s">
        <v>70</v>
      </c>
      <c r="AA11" s="63">
        <v>5069.3999999999996</v>
      </c>
      <c r="AO11" s="105"/>
    </row>
    <row r="12" spans="1:42">
      <c r="A12" s="97" t="s">
        <v>71</v>
      </c>
      <c r="B12" s="98" t="s">
        <v>72</v>
      </c>
      <c r="C12" s="135">
        <f>(C4)*0.07</f>
        <v>5656.3863999999994</v>
      </c>
      <c r="D12" s="142"/>
      <c r="E12" s="142">
        <f>(E13+E11+E10+E9)*0.07</f>
        <v>0</v>
      </c>
      <c r="F12" s="131"/>
      <c r="G12" s="135">
        <f>(G13+G11+G10+G9)*0.07</f>
        <v>0</v>
      </c>
      <c r="H12" s="131"/>
      <c r="I12" s="200">
        <f t="shared" si="0"/>
        <v>5656.3863999999994</v>
      </c>
      <c r="J12" s="95"/>
      <c r="L12" s="84"/>
      <c r="AO12" s="105"/>
    </row>
    <row r="13" spans="1:42">
      <c r="A13" s="91" t="s">
        <v>73</v>
      </c>
      <c r="B13" s="92" t="s">
        <v>74</v>
      </c>
      <c r="C13" s="139">
        <f>94*50</f>
        <v>4700</v>
      </c>
      <c r="D13" s="143"/>
      <c r="E13" s="143"/>
      <c r="F13" s="133"/>
      <c r="G13" s="139"/>
      <c r="H13" s="133"/>
      <c r="I13" s="210">
        <f t="shared" si="0"/>
        <v>4700</v>
      </c>
      <c r="J13" s="99"/>
      <c r="L13" s="84"/>
      <c r="Z13" s="64" t="s">
        <v>75</v>
      </c>
      <c r="AA13" s="65">
        <v>86.25</v>
      </c>
      <c r="AO13" s="105"/>
    </row>
    <row r="14" spans="1:42" ht="30.75">
      <c r="A14" s="100" t="s">
        <v>76</v>
      </c>
      <c r="B14" s="81" t="s">
        <v>77</v>
      </c>
      <c r="C14" s="135">
        <f>4084+84.15</f>
        <v>4168.1499999999996</v>
      </c>
      <c r="D14" s="13">
        <f>C14+C16+C15</f>
        <v>6432.2799999999988</v>
      </c>
      <c r="E14" s="156"/>
      <c r="F14" s="13">
        <f>E14+E16+E15</f>
        <v>0</v>
      </c>
      <c r="G14" s="22"/>
      <c r="H14" s="156">
        <f>G14+G16+G15</f>
        <v>0</v>
      </c>
      <c r="I14" s="9">
        <f t="shared" si="0"/>
        <v>4168.1499999999996</v>
      </c>
      <c r="J14" s="95">
        <f>I14+I16+I15</f>
        <v>6432.2799999999988</v>
      </c>
      <c r="L14" s="84"/>
      <c r="Z14" s="66" t="s">
        <v>78</v>
      </c>
      <c r="AA14" s="66" t="s">
        <v>79</v>
      </c>
      <c r="AO14" s="105"/>
    </row>
    <row r="15" spans="1:42">
      <c r="A15" s="101" t="s">
        <v>80</v>
      </c>
      <c r="B15" s="92" t="s">
        <v>81</v>
      </c>
      <c r="C15" s="135">
        <f>363.99+31.8+604.5+656.94</f>
        <v>1657.23</v>
      </c>
      <c r="D15" s="13"/>
      <c r="E15" s="13"/>
      <c r="F15" s="13"/>
      <c r="G15" s="22"/>
      <c r="H15" s="13"/>
      <c r="I15" s="9">
        <f t="shared" si="0"/>
        <v>1657.23</v>
      </c>
      <c r="J15" s="95"/>
      <c r="L15" s="84"/>
      <c r="Z15" s="67" t="s">
        <v>82</v>
      </c>
      <c r="AA15" s="68">
        <v>13</v>
      </c>
      <c r="AO15" s="105"/>
    </row>
    <row r="16" spans="1:42">
      <c r="A16" s="91" t="s">
        <v>83</v>
      </c>
      <c r="B16" s="92" t="s">
        <v>84</v>
      </c>
      <c r="C16" s="134">
        <f>481.9+125</f>
        <v>606.9</v>
      </c>
      <c r="D16" s="13"/>
      <c r="E16" s="156"/>
      <c r="F16" s="13"/>
      <c r="G16" s="19"/>
      <c r="H16" s="13"/>
      <c r="I16" s="9">
        <f t="shared" si="0"/>
        <v>606.9</v>
      </c>
      <c r="J16" s="95"/>
      <c r="L16" s="84"/>
      <c r="Z16" s="67" t="s">
        <v>85</v>
      </c>
      <c r="AA16" s="68">
        <v>12</v>
      </c>
      <c r="AO16" s="105"/>
    </row>
    <row r="17" spans="1:41">
      <c r="A17" s="85" t="s">
        <v>86</v>
      </c>
      <c r="B17" s="5" t="s">
        <v>87</v>
      </c>
      <c r="C17" s="185">
        <f>C4-C5</f>
        <v>37671.369474799983</v>
      </c>
      <c r="D17" s="130">
        <f>C17/C4</f>
        <v>0.4661979710643529</v>
      </c>
      <c r="E17" s="359">
        <f>E4-E5</f>
        <v>0</v>
      </c>
      <c r="F17" s="130" t="e">
        <f>E17/E4</f>
        <v>#DIV/0!</v>
      </c>
      <c r="G17" s="197">
        <f>G4-G5</f>
        <v>56563.863999999987</v>
      </c>
      <c r="H17" s="130">
        <f>G17/G4</f>
        <v>1</v>
      </c>
      <c r="I17" s="16">
        <f>I4-I5</f>
        <v>37671.369474799983</v>
      </c>
      <c r="J17" s="102">
        <f>I17/I4</f>
        <v>0.4661979710643529</v>
      </c>
      <c r="L17" s="84"/>
      <c r="AO17" s="105"/>
    </row>
    <row r="18" spans="1:41" ht="20.25" customHeight="1">
      <c r="A18" s="103"/>
      <c r="B18" s="104"/>
      <c r="C18" s="104"/>
      <c r="D18" s="104"/>
      <c r="E18" s="104"/>
      <c r="F18" s="104"/>
      <c r="G18" s="104"/>
      <c r="H18" s="104"/>
      <c r="J18" s="105"/>
      <c r="L18" s="115" t="s">
        <v>40</v>
      </c>
      <c r="M18" s="533" t="s">
        <v>88</v>
      </c>
      <c r="N18" s="534"/>
      <c r="O18" s="534"/>
      <c r="P18" s="534"/>
      <c r="Q18" s="534"/>
      <c r="R18" s="534"/>
      <c r="S18" s="534"/>
      <c r="T18" s="534"/>
      <c r="U18" s="534"/>
      <c r="V18" s="534"/>
      <c r="W18" s="535"/>
      <c r="X18" s="29"/>
      <c r="Z18" s="520" t="s">
        <v>89</v>
      </c>
      <c r="AA18" s="520"/>
      <c r="AC18" s="27" t="s">
        <v>40</v>
      </c>
      <c r="AD18" s="533" t="s">
        <v>90</v>
      </c>
      <c r="AE18" s="534"/>
      <c r="AF18" s="534"/>
      <c r="AG18" s="534"/>
      <c r="AH18" s="534"/>
      <c r="AI18" s="534"/>
      <c r="AJ18" s="534"/>
      <c r="AK18" s="534"/>
      <c r="AL18" s="534"/>
      <c r="AM18" s="534"/>
      <c r="AN18" s="535"/>
      <c r="AO18" s="117"/>
    </row>
    <row r="19" spans="1:41" ht="24" customHeight="1">
      <c r="A19" s="106" t="s">
        <v>91</v>
      </c>
      <c r="B19" s="4" t="s">
        <v>92</v>
      </c>
      <c r="C19" s="107"/>
      <c r="D19" s="107"/>
      <c r="E19" s="107"/>
      <c r="F19" s="107"/>
      <c r="G19" s="107"/>
      <c r="H19" s="107"/>
      <c r="J19" s="105"/>
      <c r="L19" s="118" t="s">
        <v>45</v>
      </c>
      <c r="M19" s="188" t="s">
        <v>305</v>
      </c>
      <c r="N19" s="32" t="s">
        <v>306</v>
      </c>
      <c r="O19" s="31" t="s">
        <v>307</v>
      </c>
      <c r="P19" s="170" t="s">
        <v>308</v>
      </c>
      <c r="Q19" s="32" t="s">
        <v>245</v>
      </c>
      <c r="R19" s="32" t="s">
        <v>309</v>
      </c>
      <c r="S19" s="32" t="s">
        <v>310</v>
      </c>
      <c r="T19" s="32" t="s">
        <v>311</v>
      </c>
      <c r="U19" s="32" t="s">
        <v>312</v>
      </c>
      <c r="V19" s="31"/>
      <c r="W19" s="31"/>
      <c r="X19" s="516" t="s">
        <v>51</v>
      </c>
      <c r="Z19" s="69" t="s">
        <v>52</v>
      </c>
      <c r="AA19" s="50">
        <v>10520</v>
      </c>
      <c r="AC19" s="30" t="s">
        <v>45</v>
      </c>
      <c r="AD19" s="188" t="s">
        <v>305</v>
      </c>
      <c r="AE19" s="32" t="s">
        <v>306</v>
      </c>
      <c r="AF19" s="31" t="s">
        <v>307</v>
      </c>
      <c r="AG19" s="170" t="s">
        <v>308</v>
      </c>
      <c r="AH19" s="32" t="s">
        <v>245</v>
      </c>
      <c r="AI19" s="32" t="s">
        <v>309</v>
      </c>
      <c r="AJ19" s="32"/>
      <c r="AK19" s="32"/>
      <c r="AL19" s="32"/>
      <c r="AM19" s="31"/>
      <c r="AN19" s="31"/>
      <c r="AO19" s="518" t="s">
        <v>51</v>
      </c>
    </row>
    <row r="20" spans="1:41">
      <c r="A20" s="108" t="s">
        <v>93</v>
      </c>
      <c r="B20" s="3">
        <f>J6/I5*100</f>
        <v>30.956167763635555</v>
      </c>
      <c r="C20" s="109"/>
      <c r="D20" s="109"/>
      <c r="E20" s="109"/>
      <c r="F20" s="109"/>
      <c r="G20" s="109"/>
      <c r="H20" s="109"/>
      <c r="J20" s="105"/>
      <c r="L20" s="118"/>
      <c r="M20" s="70">
        <v>1</v>
      </c>
      <c r="N20" s="70">
        <v>2</v>
      </c>
      <c r="O20" s="70">
        <v>3</v>
      </c>
      <c r="P20" s="70">
        <v>4</v>
      </c>
      <c r="Q20" s="70">
        <v>5</v>
      </c>
      <c r="R20" s="70">
        <v>3</v>
      </c>
      <c r="S20" s="70">
        <v>4</v>
      </c>
      <c r="T20" s="70">
        <v>5</v>
      </c>
      <c r="U20" s="70"/>
      <c r="V20" s="70"/>
      <c r="W20" s="70"/>
      <c r="X20" s="517"/>
      <c r="Z20" s="71" t="s">
        <v>55</v>
      </c>
      <c r="AA20" s="77">
        <f>I6+I7</f>
        <v>7646.7300000000005</v>
      </c>
      <c r="AC20" s="30"/>
      <c r="AD20" s="70">
        <v>1</v>
      </c>
      <c r="AE20" s="70">
        <v>2</v>
      </c>
      <c r="AF20" s="70">
        <v>3</v>
      </c>
      <c r="AG20" s="70">
        <v>4</v>
      </c>
      <c r="AH20" s="70">
        <v>5</v>
      </c>
      <c r="AI20" s="70">
        <v>3</v>
      </c>
      <c r="AJ20" s="70">
        <v>4</v>
      </c>
      <c r="AK20" s="70">
        <v>5</v>
      </c>
      <c r="AL20" s="70">
        <v>9</v>
      </c>
      <c r="AM20" s="70">
        <v>10</v>
      </c>
      <c r="AN20" s="70">
        <v>11</v>
      </c>
      <c r="AO20" s="519"/>
    </row>
    <row r="21" spans="1:41">
      <c r="A21" s="110" t="s">
        <v>94</v>
      </c>
      <c r="B21" s="3">
        <f>J9/I5*100</f>
        <v>54.131564528108292</v>
      </c>
      <c r="C21" s="109"/>
      <c r="D21" s="109"/>
      <c r="E21" s="109"/>
      <c r="F21" s="109"/>
      <c r="G21" s="109"/>
      <c r="H21" s="109"/>
      <c r="J21" s="105"/>
      <c r="L21" s="125"/>
      <c r="M21" s="73">
        <f>X21/4</f>
        <v>2630</v>
      </c>
      <c r="N21" s="73"/>
      <c r="O21" s="73"/>
      <c r="P21" s="73"/>
      <c r="Q21" s="73"/>
      <c r="R21" s="73">
        <f>M21</f>
        <v>2630</v>
      </c>
      <c r="S21" s="73">
        <f>M21</f>
        <v>2630</v>
      </c>
      <c r="T21" s="73">
        <f>M21</f>
        <v>2630</v>
      </c>
      <c r="U21" s="73"/>
      <c r="V21" s="73"/>
      <c r="W21" s="73"/>
      <c r="X21" s="74">
        <f>AA19</f>
        <v>10520</v>
      </c>
      <c r="Z21" s="520" t="s">
        <v>90</v>
      </c>
      <c r="AA21" s="520"/>
      <c r="AC21" s="72"/>
      <c r="AD21" s="73">
        <f>AO21/2</f>
        <v>4800</v>
      </c>
      <c r="AE21" s="73"/>
      <c r="AF21" s="73"/>
      <c r="AG21" s="73"/>
      <c r="AH21" s="73"/>
      <c r="AI21" s="73">
        <f>AD21</f>
        <v>4800</v>
      </c>
      <c r="AJ21" s="73">
        <f>AD21</f>
        <v>4800</v>
      </c>
      <c r="AK21" s="73">
        <f>AD21</f>
        <v>4800</v>
      </c>
      <c r="AL21" s="73"/>
      <c r="AM21" s="73"/>
      <c r="AN21" s="73"/>
      <c r="AO21" s="126">
        <f>AA22</f>
        <v>9600</v>
      </c>
    </row>
    <row r="22" spans="1:41">
      <c r="A22" s="111" t="s">
        <v>95</v>
      </c>
      <c r="B22" s="2">
        <f>J14/I5*100</f>
        <v>14.912267708256143</v>
      </c>
      <c r="C22" s="109"/>
      <c r="D22" s="109"/>
      <c r="E22" s="109"/>
      <c r="F22" s="109"/>
      <c r="G22" s="109"/>
      <c r="H22" s="109"/>
      <c r="J22" s="105"/>
      <c r="L22" s="125"/>
      <c r="M22" s="75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5">
        <f>T22+S22+R22+M22+U22</f>
        <v>0</v>
      </c>
      <c r="Z22" s="69" t="s">
        <v>52</v>
      </c>
      <c r="AA22" s="50">
        <v>9600</v>
      </c>
      <c r="AC22" s="72"/>
      <c r="AD22" s="75">
        <f>4084+363.99</f>
        <v>4447.99</v>
      </c>
      <c r="AE22" s="76"/>
      <c r="AF22" s="76"/>
      <c r="AG22" s="76"/>
      <c r="AH22" s="76"/>
      <c r="AI22" s="76">
        <f>1293.23+84.15</f>
        <v>1377.38</v>
      </c>
      <c r="AJ22" s="76"/>
      <c r="AK22" s="76"/>
      <c r="AL22" s="76"/>
      <c r="AM22" s="76"/>
      <c r="AN22" s="76"/>
      <c r="AO22" s="165">
        <f t="shared" ref="AO22" si="2">AD22+AE22+AF22+AG22+AH22+AI22+AN22+AJ22+AK22+AL22+AM22</f>
        <v>5825.37</v>
      </c>
    </row>
    <row r="23" spans="1:41">
      <c r="A23" s="84"/>
      <c r="J23" s="105"/>
      <c r="L23" s="84"/>
      <c r="Z23" s="71" t="s">
        <v>55</v>
      </c>
      <c r="AA23" s="77">
        <f>AO22</f>
        <v>5825.37</v>
      </c>
      <c r="AO23" s="105"/>
    </row>
    <row r="24" spans="1:41">
      <c r="A24" s="84"/>
      <c r="J24" s="105"/>
      <c r="L24" s="84"/>
      <c r="X24" s="128"/>
      <c r="AO24" s="105"/>
    </row>
    <row r="25" spans="1:41" ht="25.5" customHeight="1">
      <c r="A25" s="84"/>
      <c r="J25" s="105"/>
      <c r="L25" s="84"/>
      <c r="Z25" s="10" t="s">
        <v>96</v>
      </c>
      <c r="AA25" s="145">
        <v>9555</v>
      </c>
      <c r="AO25" s="105"/>
    </row>
    <row r="26" spans="1:41" ht="27.75">
      <c r="A26" s="84"/>
      <c r="J26" s="105"/>
      <c r="L26" s="84"/>
      <c r="Z26" s="10" t="s">
        <v>97</v>
      </c>
      <c r="AA26" s="145">
        <f>I8</f>
        <v>5705.95</v>
      </c>
      <c r="AO26" s="105"/>
    </row>
    <row r="27" spans="1:41">
      <c r="A27" s="84"/>
      <c r="J27" s="105"/>
      <c r="L27" s="84"/>
      <c r="AO27" s="105"/>
    </row>
    <row r="28" spans="1:41">
      <c r="A28" s="84"/>
      <c r="J28" s="105"/>
      <c r="L28" s="84"/>
      <c r="AO28" s="105"/>
    </row>
    <row r="29" spans="1:41">
      <c r="A29" s="84"/>
      <c r="J29" s="105"/>
      <c r="L29" s="84"/>
      <c r="AO29" s="105"/>
    </row>
    <row r="30" spans="1:41">
      <c r="A30" s="84"/>
      <c r="J30" s="105"/>
      <c r="L30" s="84"/>
      <c r="Z30" s="521" t="s">
        <v>98</v>
      </c>
      <c r="AA30" s="522"/>
      <c r="AO30" s="105"/>
    </row>
    <row r="31" spans="1:41">
      <c r="A31" s="84"/>
      <c r="J31" s="105"/>
      <c r="L31" s="84"/>
      <c r="Z31" s="523">
        <v>45184</v>
      </c>
      <c r="AA31" s="524"/>
      <c r="AO31" s="105"/>
    </row>
    <row r="32" spans="1:41">
      <c r="A32" s="112"/>
      <c r="B32" s="113"/>
      <c r="C32" s="113"/>
      <c r="D32" s="113"/>
      <c r="E32" s="113"/>
      <c r="F32" s="113"/>
      <c r="G32" s="113"/>
      <c r="H32" s="113"/>
      <c r="I32" s="113"/>
      <c r="J32" s="114"/>
      <c r="L32" s="112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525"/>
      <c r="AA32" s="526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4"/>
    </row>
    <row r="37" spans="11:11">
      <c r="K37" s="1"/>
    </row>
  </sheetData>
  <mergeCells count="21">
    <mergeCell ref="X19:X20"/>
    <mergeCell ref="AO19:AO20"/>
    <mergeCell ref="Z21:AA21"/>
    <mergeCell ref="Z30:AA30"/>
    <mergeCell ref="Z31:AA32"/>
    <mergeCell ref="X4:X5"/>
    <mergeCell ref="AO4:AO5"/>
    <mergeCell ref="Z6:AA6"/>
    <mergeCell ref="M18:W18"/>
    <mergeCell ref="Z18:AA18"/>
    <mergeCell ref="AD18:AN18"/>
    <mergeCell ref="B1:AO1"/>
    <mergeCell ref="A2:J2"/>
    <mergeCell ref="L2:AO2"/>
    <mergeCell ref="C3:D3"/>
    <mergeCell ref="E3:F3"/>
    <mergeCell ref="I3:J3"/>
    <mergeCell ref="M3:W3"/>
    <mergeCell ref="Z3:AA3"/>
    <mergeCell ref="AD3:AN3"/>
    <mergeCell ref="G3:H3"/>
  </mergeCells>
  <conditionalFormatting sqref="AA20">
    <cfRule type="cellIs" dxfId="22" priority="2" operator="greaterThan">
      <formula>$AA$19</formula>
    </cfRule>
  </conditionalFormatting>
  <conditionalFormatting sqref="AA23">
    <cfRule type="cellIs" dxfId="21" priority="1" operator="greaterThan">
      <formula>$AA$22</formula>
    </cfRule>
  </conditionalFormatting>
  <pageMargins left="0.7" right="0.7" top="0.75" bottom="0.75" header="0.3" footer="0.3"/>
  <pageSetup paperSize="9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995F2-3DB4-4F98-8015-42ECE598D030}">
  <sheetPr>
    <pageSetUpPr fitToPage="1"/>
  </sheetPr>
  <dimension ref="A1:AQ37"/>
  <sheetViews>
    <sheetView workbookViewId="0">
      <selection activeCell="B1" sqref="B1"/>
    </sheetView>
  </sheetViews>
  <sheetFormatPr defaultRowHeight="15" outlineLevelCol="1"/>
  <cols>
    <col min="1" max="1" width="36.42578125" bestFit="1" customWidth="1"/>
    <col min="2" max="2" width="30.140625" bestFit="1" customWidth="1"/>
    <col min="3" max="5" width="10.7109375" customWidth="1"/>
    <col min="6" max="6" width="10.140625" customWidth="1"/>
    <col min="7" max="8" width="10.7109375" hidden="1" customWidth="1" outlineLevel="1"/>
    <col min="9" max="9" width="10.7109375" customWidth="1" collapsed="1"/>
    <col min="10" max="10" width="10.7109375" customWidth="1"/>
    <col min="11" max="11" width="3.28515625" customWidth="1"/>
    <col min="12" max="12" width="0.5703125" hidden="1" customWidth="1" outlineLevel="1"/>
    <col min="13" max="13" width="10.7109375" hidden="1" customWidth="1" outlineLevel="1" collapsed="1"/>
    <col min="14" max="17" width="10.7109375" hidden="1" customWidth="1" outlineLevel="1"/>
    <col min="18" max="22" width="9.140625" hidden="1" customWidth="1" outlineLevel="1"/>
    <col min="23" max="23" width="2.5703125" hidden="1" customWidth="1" outlineLevel="1"/>
    <col min="24" max="24" width="9.140625" hidden="1" customWidth="1" outlineLevel="1"/>
    <col min="25" max="25" width="3" hidden="1" customWidth="1" outlineLevel="1"/>
    <col min="26" max="26" width="23.7109375" customWidth="1" collapsed="1"/>
    <col min="27" max="27" width="18.140625" bestFit="1" customWidth="1"/>
    <col min="28" max="28" width="2.85546875" customWidth="1"/>
    <col min="29" max="29" width="20.7109375" hidden="1" customWidth="1" outlineLevel="1"/>
    <col min="30" max="30" width="10.7109375" customWidth="1" collapsed="1"/>
    <col min="31" max="31" width="10.7109375" customWidth="1"/>
    <col min="32" max="33" width="10.7109375" hidden="1" customWidth="1" outlineLevel="1"/>
    <col min="34" max="39" width="12.7109375" hidden="1" customWidth="1" outlineLevel="1"/>
    <col min="40" max="40" width="2.42578125" hidden="1" customWidth="1" outlineLevel="1"/>
    <col min="41" max="41" width="12.7109375" customWidth="1" collapsed="1"/>
    <col min="42" max="42" width="12.7109375" customWidth="1"/>
  </cols>
  <sheetData>
    <row r="1" spans="1:43" ht="25.5" customHeight="1">
      <c r="A1" s="237" t="s">
        <v>313</v>
      </c>
      <c r="B1" s="576" t="s">
        <v>314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  <c r="AN1" s="576"/>
      <c r="AO1" s="576"/>
    </row>
    <row r="2" spans="1:43" ht="18.75">
      <c r="A2" s="537" t="s">
        <v>35</v>
      </c>
      <c r="B2" s="574"/>
      <c r="C2" s="574"/>
      <c r="D2" s="574"/>
      <c r="E2" s="574"/>
      <c r="F2" s="574"/>
      <c r="G2" s="574"/>
      <c r="H2" s="574"/>
      <c r="I2" s="574"/>
      <c r="J2" s="575"/>
      <c r="K2" s="7"/>
      <c r="L2" s="558" t="s">
        <v>36</v>
      </c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59"/>
      <c r="AN2" s="559"/>
      <c r="AO2" s="560"/>
      <c r="AP2" s="1">
        <f>J9-I12-I11</f>
        <v>17897.77202</v>
      </c>
    </row>
    <row r="3" spans="1:43" ht="15.75" customHeight="1">
      <c r="A3" s="84"/>
      <c r="C3" s="586" t="s">
        <v>315</v>
      </c>
      <c r="D3" s="587"/>
      <c r="E3" s="543" t="s">
        <v>304</v>
      </c>
      <c r="F3" s="544"/>
      <c r="G3" s="543" t="s">
        <v>316</v>
      </c>
      <c r="H3" s="581"/>
      <c r="I3" s="588" t="s">
        <v>39</v>
      </c>
      <c r="J3" s="546"/>
      <c r="L3" s="177" t="s">
        <v>40</v>
      </c>
      <c r="M3" s="547" t="s">
        <v>41</v>
      </c>
      <c r="N3" s="534"/>
      <c r="O3" s="534"/>
      <c r="P3" s="534"/>
      <c r="Q3" s="534"/>
      <c r="R3" s="534"/>
      <c r="S3" s="534"/>
      <c r="T3" s="534"/>
      <c r="U3" s="534"/>
      <c r="V3" s="534"/>
      <c r="W3" s="535"/>
      <c r="X3" s="28"/>
      <c r="Y3" s="116"/>
      <c r="Z3" s="548" t="s">
        <v>42</v>
      </c>
      <c r="AA3" s="549"/>
      <c r="AB3" s="116"/>
      <c r="AC3" s="27" t="s">
        <v>40</v>
      </c>
      <c r="AD3" s="533" t="s">
        <v>20</v>
      </c>
      <c r="AE3" s="534"/>
      <c r="AF3" s="534"/>
      <c r="AG3" s="534"/>
      <c r="AH3" s="534"/>
      <c r="AI3" s="534"/>
      <c r="AJ3" s="534"/>
      <c r="AK3" s="534"/>
      <c r="AL3" s="534"/>
      <c r="AM3" s="534"/>
      <c r="AN3" s="535"/>
      <c r="AO3" s="117"/>
      <c r="AP3">
        <f>AP2/AO7</f>
        <v>30.232723006756757</v>
      </c>
    </row>
    <row r="4" spans="1:43" ht="16.5" customHeight="1">
      <c r="A4" s="85" t="s">
        <v>43</v>
      </c>
      <c r="B4" s="5" t="s">
        <v>44</v>
      </c>
      <c r="C4" s="371">
        <v>0</v>
      </c>
      <c r="E4" s="83">
        <f>I4</f>
        <v>40953.420000000006</v>
      </c>
      <c r="G4" s="83"/>
      <c r="I4" s="153">
        <f>AA10+G4+AA11</f>
        <v>40953.420000000006</v>
      </c>
      <c r="J4" s="86"/>
      <c r="L4" s="178" t="s">
        <v>45</v>
      </c>
      <c r="M4" s="188" t="s">
        <v>317</v>
      </c>
      <c r="N4" s="32" t="s">
        <v>318</v>
      </c>
      <c r="O4" s="31"/>
      <c r="P4" s="170"/>
      <c r="Q4" s="32"/>
      <c r="R4" s="32"/>
      <c r="S4" s="32"/>
      <c r="T4" s="32"/>
      <c r="U4" s="32"/>
      <c r="V4" s="32"/>
      <c r="W4" s="32"/>
      <c r="X4" s="527" t="s">
        <v>51</v>
      </c>
      <c r="Y4" s="116"/>
      <c r="Z4" s="33" t="s">
        <v>52</v>
      </c>
      <c r="AA4" s="34">
        <v>1</v>
      </c>
      <c r="AB4" s="116"/>
      <c r="AC4" s="30" t="s">
        <v>45</v>
      </c>
      <c r="AD4" s="188" t="s">
        <v>317</v>
      </c>
      <c r="AE4" s="32" t="s">
        <v>318</v>
      </c>
      <c r="AF4" s="31">
        <f>O4</f>
        <v>0</v>
      </c>
      <c r="AG4" s="170">
        <f>P4</f>
        <v>0</v>
      </c>
      <c r="AH4" s="32"/>
      <c r="AI4" s="32"/>
      <c r="AJ4" s="32"/>
      <c r="AK4" s="32"/>
      <c r="AL4" s="32"/>
      <c r="AM4" s="32"/>
      <c r="AN4" s="32"/>
      <c r="AO4" s="584" t="s">
        <v>51</v>
      </c>
    </row>
    <row r="5" spans="1:43">
      <c r="A5" s="85" t="s">
        <v>53</v>
      </c>
      <c r="B5" s="5" t="s">
        <v>54</v>
      </c>
      <c r="C5" s="192">
        <f>C6+C7+C8+C9+C10+C11+C13+C14+C16+C15+C12</f>
        <v>8272.9201850800018</v>
      </c>
      <c r="D5" s="5"/>
      <c r="E5" s="192">
        <f>E6+E7+E8+E9+E10+E11+E13+E14+E16+E15+E12</f>
        <v>28217.032996520004</v>
      </c>
      <c r="F5" s="5"/>
      <c r="G5" s="187">
        <f>G6+G7+G8+G9+G10+G11+G13+G14+G16+G15+G12</f>
        <v>0</v>
      </c>
      <c r="H5" s="5"/>
      <c r="I5" s="154">
        <f>I6+I7+I8+I9+I10+I11+I13+I14+I16+I15+I12</f>
        <v>36489.953181600002</v>
      </c>
      <c r="J5" s="87"/>
      <c r="L5" s="179"/>
      <c r="M5" s="189">
        <v>1</v>
      </c>
      <c r="N5" s="80">
        <v>2</v>
      </c>
      <c r="O5" s="80">
        <v>3</v>
      </c>
      <c r="P5" s="80">
        <v>4</v>
      </c>
      <c r="Q5" s="80">
        <v>5</v>
      </c>
      <c r="R5" s="80">
        <v>6</v>
      </c>
      <c r="S5" s="80"/>
      <c r="T5" s="80"/>
      <c r="U5" s="80"/>
      <c r="V5" s="80"/>
      <c r="W5" s="36"/>
      <c r="X5" s="528"/>
      <c r="Z5" s="37" t="s">
        <v>55</v>
      </c>
      <c r="AA5" s="38">
        <f>X7+X8</f>
        <v>1.0631182509310269</v>
      </c>
      <c r="AC5" s="35"/>
      <c r="AD5" s="80">
        <v>1</v>
      </c>
      <c r="AE5" s="80">
        <v>2</v>
      </c>
      <c r="AF5" s="80">
        <v>3</v>
      </c>
      <c r="AG5" s="80">
        <v>4</v>
      </c>
      <c r="AH5" s="80">
        <v>5</v>
      </c>
      <c r="AI5" s="80">
        <v>6</v>
      </c>
      <c r="AJ5" s="36">
        <v>7</v>
      </c>
      <c r="AK5" s="36">
        <v>8</v>
      </c>
      <c r="AL5" s="36">
        <v>9</v>
      </c>
      <c r="AM5" s="36">
        <v>10</v>
      </c>
      <c r="AN5" s="36">
        <v>11</v>
      </c>
      <c r="AO5" s="585"/>
    </row>
    <row r="6" spans="1:43">
      <c r="A6" s="88" t="s">
        <v>56</v>
      </c>
      <c r="B6" s="81" t="s">
        <v>57</v>
      </c>
      <c r="C6" s="135">
        <f>458+1826.7+205+71.9+89.4</f>
        <v>2651</v>
      </c>
      <c r="D6" s="89">
        <f>C6+C7+C8</f>
        <v>2651</v>
      </c>
      <c r="E6" s="135">
        <f>3737.53+423.18/2</f>
        <v>3949.1200000000003</v>
      </c>
      <c r="F6" s="13">
        <f>E6+E7+E8</f>
        <v>8087.0500000000011</v>
      </c>
      <c r="G6" s="19"/>
      <c r="H6" s="89">
        <f>G6+G7+G8</f>
        <v>0</v>
      </c>
      <c r="I6" s="200">
        <f>C6+E6+G6</f>
        <v>6600.1200000000008</v>
      </c>
      <c r="J6" s="90">
        <f>I6+I7+I8</f>
        <v>10738.050000000001</v>
      </c>
      <c r="L6" s="180"/>
      <c r="M6" s="40">
        <v>0.25</v>
      </c>
      <c r="N6" s="40">
        <v>0.75</v>
      </c>
      <c r="O6" s="40">
        <v>1</v>
      </c>
      <c r="P6" s="40"/>
      <c r="Q6" s="40"/>
      <c r="R6" s="40"/>
      <c r="S6" s="40"/>
      <c r="T6" s="40"/>
      <c r="U6" s="40"/>
      <c r="V6" s="40"/>
      <c r="W6" s="41"/>
      <c r="X6" s="40">
        <f>O6</f>
        <v>1</v>
      </c>
      <c r="Z6" s="531" t="s">
        <v>58</v>
      </c>
      <c r="AA6" s="532"/>
      <c r="AC6" s="42"/>
      <c r="AD6" s="43">
        <f>AO6/2</f>
        <v>233</v>
      </c>
      <c r="AE6" s="43">
        <f>AO6/2</f>
        <v>233</v>
      </c>
      <c r="AF6" s="43"/>
      <c r="AG6" s="43"/>
      <c r="AH6" s="43"/>
      <c r="AI6" s="43"/>
      <c r="AJ6" s="44"/>
      <c r="AK6" s="44"/>
      <c r="AL6" s="44"/>
      <c r="AM6" s="44"/>
      <c r="AN6" s="44"/>
      <c r="AO6" s="121">
        <v>466</v>
      </c>
    </row>
    <row r="7" spans="1:43">
      <c r="A7" s="91" t="s">
        <v>59</v>
      </c>
      <c r="B7" s="92" t="s">
        <v>60</v>
      </c>
      <c r="C7" s="134"/>
      <c r="D7" s="89"/>
      <c r="E7" s="134">
        <f>175+425</f>
        <v>600</v>
      </c>
      <c r="F7" s="13"/>
      <c r="G7" s="134"/>
      <c r="H7" s="89"/>
      <c r="I7" s="200">
        <f>C7+E7+G7</f>
        <v>600</v>
      </c>
      <c r="J7" s="90"/>
      <c r="L7" s="181"/>
      <c r="M7" s="48"/>
      <c r="N7" s="46"/>
      <c r="O7" s="46"/>
      <c r="P7" s="46"/>
      <c r="Q7" s="46"/>
      <c r="R7" s="46"/>
      <c r="S7" s="46"/>
      <c r="T7" s="46"/>
      <c r="U7" s="46"/>
      <c r="V7" s="46"/>
      <c r="W7" s="47"/>
      <c r="X7" s="48">
        <v>1</v>
      </c>
      <c r="Z7" s="49" t="s">
        <v>52</v>
      </c>
      <c r="AA7" s="50">
        <f>AO6/AA13</f>
        <v>8.041415012942192</v>
      </c>
      <c r="AC7" s="51"/>
      <c r="AD7" s="52">
        <f>45+245.5</f>
        <v>290.5</v>
      </c>
      <c r="AE7" s="53">
        <v>301.5</v>
      </c>
      <c r="AF7" s="53"/>
      <c r="AG7" s="53"/>
      <c r="AH7" s="53"/>
      <c r="AI7" s="53"/>
      <c r="AJ7" s="54"/>
      <c r="AK7" s="54"/>
      <c r="AL7" s="54"/>
      <c r="AM7" s="54"/>
      <c r="AN7" s="54"/>
      <c r="AO7" s="374">
        <f t="shared" ref="AO7" si="0">AD7+AE7+AF7+AG7+AH7+AI7+AN7+AJ7+AK7+AL7+AM7</f>
        <v>592</v>
      </c>
      <c r="AP7" s="1"/>
      <c r="AQ7" s="1"/>
    </row>
    <row r="8" spans="1:43">
      <c r="A8" s="93" t="s">
        <v>61</v>
      </c>
      <c r="B8" s="82" t="s">
        <v>62</v>
      </c>
      <c r="C8" s="20"/>
      <c r="D8" s="94"/>
      <c r="E8" s="20">
        <f>7.14+45.22+2396.32+560+529.25</f>
        <v>3537.9300000000003</v>
      </c>
      <c r="F8" s="14"/>
      <c r="G8" s="20"/>
      <c r="H8" s="94"/>
      <c r="I8" s="210">
        <f>C8+E8+G8</f>
        <v>3537.9300000000003</v>
      </c>
      <c r="J8" s="95"/>
      <c r="L8" s="182"/>
      <c r="M8" s="55"/>
      <c r="N8" s="55"/>
      <c r="O8" s="55"/>
      <c r="P8" s="56"/>
      <c r="Q8" s="57"/>
      <c r="R8" s="56"/>
      <c r="S8" s="58"/>
      <c r="T8" s="58"/>
      <c r="U8" s="58"/>
      <c r="V8" s="58"/>
      <c r="W8" s="58"/>
      <c r="X8" s="56">
        <f>AA11/AA10</f>
        <v>6.3118250931026909E-2</v>
      </c>
      <c r="Z8" s="59" t="s">
        <v>55</v>
      </c>
      <c r="AA8" s="77">
        <f>AO7/AA13</f>
        <v>10.215703192407247</v>
      </c>
      <c r="AO8" s="105"/>
    </row>
    <row r="9" spans="1:43">
      <c r="A9" s="88" t="s">
        <v>63</v>
      </c>
      <c r="B9" s="81" t="s">
        <v>64</v>
      </c>
      <c r="C9" s="21">
        <v>1142.3900000000001</v>
      </c>
      <c r="D9" s="137">
        <f>C9+C10+C11+C13+C12</f>
        <v>2174.8301850799999</v>
      </c>
      <c r="E9" s="367">
        <f>((108*16+240.5*15+106*14+93*12)-C13)*1.42</f>
        <v>10345.41</v>
      </c>
      <c r="F9" s="137">
        <f>E9+E10+E11+E13+E12</f>
        <v>19725.502996520001</v>
      </c>
      <c r="G9" s="21"/>
      <c r="H9" s="6">
        <f>G9+G10+G11+G13+G12</f>
        <v>0</v>
      </c>
      <c r="I9" s="200">
        <f>C9+E9+G9</f>
        <v>11487.8</v>
      </c>
      <c r="J9" s="96">
        <f>I9+I10+I11+I13+I12</f>
        <v>21900.333181600003</v>
      </c>
      <c r="L9" s="84"/>
      <c r="AO9" s="105"/>
    </row>
    <row r="10" spans="1:43">
      <c r="A10" s="91" t="s">
        <v>65</v>
      </c>
      <c r="B10" s="92" t="s">
        <v>66</v>
      </c>
      <c r="C10" s="134">
        <f>C9*0.2359</f>
        <v>269.489801</v>
      </c>
      <c r="D10" s="89"/>
      <c r="E10" s="134">
        <f>E9*0.2359</f>
        <v>2440.482219</v>
      </c>
      <c r="F10" s="89"/>
      <c r="G10" s="19">
        <f>G9*0.2359</f>
        <v>0</v>
      </c>
      <c r="H10" s="89"/>
      <c r="I10" s="200">
        <f>C10+E10+G10</f>
        <v>2709.9720200000002</v>
      </c>
      <c r="J10" s="95"/>
      <c r="L10" s="84"/>
      <c r="Z10" s="10" t="s">
        <v>67</v>
      </c>
      <c r="AA10" s="61">
        <v>38521.980000000003</v>
      </c>
      <c r="AO10" s="105"/>
    </row>
    <row r="11" spans="1:43">
      <c r="A11" s="91" t="s">
        <v>68</v>
      </c>
      <c r="B11" s="92" t="s">
        <v>69</v>
      </c>
      <c r="C11" s="134">
        <f>(C9+C10)*0.08</f>
        <v>112.95038408000001</v>
      </c>
      <c r="D11" s="89"/>
      <c r="E11" s="134">
        <f>(E9+E10)*0.08</f>
        <v>1022.87137752</v>
      </c>
      <c r="F11" s="89"/>
      <c r="G11" s="19">
        <f>(G9+G10)*0.08</f>
        <v>0</v>
      </c>
      <c r="H11" s="89"/>
      <c r="I11" s="200">
        <f>C11+E11+G11</f>
        <v>1135.8217615999999</v>
      </c>
      <c r="J11" s="95"/>
      <c r="L11" s="84"/>
      <c r="Z11" s="62" t="s">
        <v>70</v>
      </c>
      <c r="AA11" s="201">
        <v>2431.44</v>
      </c>
      <c r="AO11" s="105"/>
    </row>
    <row r="12" spans="1:43">
      <c r="A12" s="97" t="s">
        <v>71</v>
      </c>
      <c r="B12" s="98" t="s">
        <v>72</v>
      </c>
      <c r="C12" s="135">
        <f>(C4)*0.07</f>
        <v>0</v>
      </c>
      <c r="D12" s="131"/>
      <c r="E12" s="135">
        <f>(E4)*0.07</f>
        <v>2866.7394000000008</v>
      </c>
      <c r="F12" s="131"/>
      <c r="G12" s="22">
        <f>(G13+G11+G10+G9)*0.07</f>
        <v>0</v>
      </c>
      <c r="H12" s="131"/>
      <c r="I12" s="200">
        <f>C12+E12+G12</f>
        <v>2866.7394000000008</v>
      </c>
      <c r="J12" s="95"/>
      <c r="L12" s="84"/>
      <c r="AO12" s="105"/>
    </row>
    <row r="13" spans="1:43">
      <c r="A13" s="91" t="s">
        <v>73</v>
      </c>
      <c r="B13" s="92" t="s">
        <v>74</v>
      </c>
      <c r="C13" s="139">
        <v>650</v>
      </c>
      <c r="D13" s="133"/>
      <c r="E13" s="370">
        <f>61*50</f>
        <v>3050</v>
      </c>
      <c r="F13" s="133"/>
      <c r="G13" s="132"/>
      <c r="H13" s="133"/>
      <c r="I13" s="210">
        <f>C13+E13+G13</f>
        <v>3700</v>
      </c>
      <c r="J13" s="99"/>
      <c r="L13" s="84"/>
      <c r="Z13" s="64" t="s">
        <v>75</v>
      </c>
      <c r="AA13" s="65">
        <v>57.95</v>
      </c>
      <c r="AO13" s="105"/>
    </row>
    <row r="14" spans="1:43">
      <c r="A14" s="100" t="s">
        <v>76</v>
      </c>
      <c r="B14" s="81" t="s">
        <v>77</v>
      </c>
      <c r="C14" s="134">
        <v>2016</v>
      </c>
      <c r="D14" s="89">
        <f>C14+C16+C15</f>
        <v>3447.09</v>
      </c>
      <c r="E14" s="134"/>
      <c r="F14" s="156">
        <f>E14+E16+E15</f>
        <v>404.48</v>
      </c>
      <c r="G14" s="19"/>
      <c r="H14" s="13">
        <f>G14+G16+G15</f>
        <v>0</v>
      </c>
      <c r="I14" s="9">
        <f>C14+E14+G14</f>
        <v>2016</v>
      </c>
      <c r="J14" s="95">
        <f>I14+I16+I15</f>
        <v>3851.5699999999997</v>
      </c>
      <c r="L14" s="84"/>
      <c r="Z14" s="66" t="s">
        <v>78</v>
      </c>
      <c r="AA14" s="66" t="s">
        <v>79</v>
      </c>
      <c r="AO14" s="105"/>
    </row>
    <row r="15" spans="1:43">
      <c r="A15" s="101" t="s">
        <v>80</v>
      </c>
      <c r="B15" s="92" t="s">
        <v>81</v>
      </c>
      <c r="C15" s="134">
        <f>1103.18+163.98+25</f>
        <v>1292.1600000000001</v>
      </c>
      <c r="D15" s="89"/>
      <c r="E15" s="134">
        <v>161.97999999999999</v>
      </c>
      <c r="F15" s="13"/>
      <c r="G15" s="134"/>
      <c r="H15" s="13"/>
      <c r="I15" s="9">
        <f>C15+E15+G15</f>
        <v>1454.14</v>
      </c>
      <c r="J15" s="95"/>
      <c r="L15" s="84"/>
      <c r="Z15" s="67" t="s">
        <v>82</v>
      </c>
      <c r="AA15" s="68">
        <v>13</v>
      </c>
      <c r="AO15" s="105"/>
    </row>
    <row r="16" spans="1:43">
      <c r="A16" s="91" t="s">
        <v>83</v>
      </c>
      <c r="B16" s="92" t="s">
        <v>84</v>
      </c>
      <c r="C16" s="19">
        <v>138.93</v>
      </c>
      <c r="D16" s="89"/>
      <c r="E16" s="134">
        <f>150.4+72.1+20</f>
        <v>242.5</v>
      </c>
      <c r="F16" s="13"/>
      <c r="G16" s="19"/>
      <c r="H16" s="13"/>
      <c r="I16" s="9">
        <f>C16+E16+G16</f>
        <v>381.43</v>
      </c>
      <c r="J16" s="95"/>
      <c r="L16" s="84"/>
      <c r="Z16" s="67" t="s">
        <v>85</v>
      </c>
      <c r="AA16" s="68">
        <v>12</v>
      </c>
      <c r="AO16" s="105"/>
    </row>
    <row r="17" spans="1:41">
      <c r="A17" s="85" t="s">
        <v>86</v>
      </c>
      <c r="B17" s="5" t="s">
        <v>87</v>
      </c>
      <c r="C17" s="185">
        <f>C4-C5</f>
        <v>-8272.9201850800018</v>
      </c>
      <c r="D17" s="129" t="e">
        <f>C17/C4</f>
        <v>#DIV/0!</v>
      </c>
      <c r="E17" s="197">
        <f>E4-E5</f>
        <v>12736.387003480002</v>
      </c>
      <c r="F17" s="130">
        <f>E17/E4</f>
        <v>0.31099690827969922</v>
      </c>
      <c r="G17" s="185">
        <f>G4-G5</f>
        <v>0</v>
      </c>
      <c r="H17" s="130" t="e">
        <f>G17/G4</f>
        <v>#DIV/0!</v>
      </c>
      <c r="I17" s="16">
        <f>I4-I5</f>
        <v>4463.4668184000038</v>
      </c>
      <c r="J17" s="102">
        <f>I17/I4</f>
        <v>0.10898886633643791</v>
      </c>
      <c r="L17" s="84"/>
      <c r="AO17" s="105"/>
    </row>
    <row r="18" spans="1:41" ht="20.25" customHeight="1">
      <c r="A18" s="103"/>
      <c r="B18" s="104"/>
      <c r="C18" s="104"/>
      <c r="D18" s="104"/>
      <c r="E18" s="104"/>
      <c r="F18" s="104"/>
      <c r="G18" s="104"/>
      <c r="H18" s="104"/>
      <c r="J18" s="105"/>
      <c r="L18" s="115" t="s">
        <v>40</v>
      </c>
      <c r="M18" s="533" t="s">
        <v>88</v>
      </c>
      <c r="N18" s="534"/>
      <c r="O18" s="534"/>
      <c r="P18" s="534"/>
      <c r="Q18" s="534"/>
      <c r="R18" s="534"/>
      <c r="S18" s="534"/>
      <c r="T18" s="534"/>
      <c r="U18" s="534"/>
      <c r="V18" s="534"/>
      <c r="W18" s="535"/>
      <c r="X18" s="29"/>
      <c r="Z18" s="520" t="s">
        <v>89</v>
      </c>
      <c r="AA18" s="520"/>
      <c r="AC18" s="27" t="s">
        <v>40</v>
      </c>
      <c r="AD18" s="533" t="s">
        <v>90</v>
      </c>
      <c r="AE18" s="534"/>
      <c r="AF18" s="534"/>
      <c r="AG18" s="534"/>
      <c r="AH18" s="534"/>
      <c r="AI18" s="534"/>
      <c r="AJ18" s="534"/>
      <c r="AK18" s="534"/>
      <c r="AL18" s="534"/>
      <c r="AM18" s="534"/>
      <c r="AN18" s="535"/>
      <c r="AO18" s="117"/>
    </row>
    <row r="19" spans="1:41" ht="24" customHeight="1">
      <c r="A19" s="106" t="s">
        <v>91</v>
      </c>
      <c r="B19" s="4" t="s">
        <v>92</v>
      </c>
      <c r="C19" s="107"/>
      <c r="D19" s="107"/>
      <c r="E19" s="107"/>
      <c r="F19" s="107"/>
      <c r="G19" s="107"/>
      <c r="H19" s="107"/>
      <c r="J19" s="105"/>
      <c r="L19" s="118" t="s">
        <v>45</v>
      </c>
      <c r="M19" s="188" t="s">
        <v>317</v>
      </c>
      <c r="N19" s="32" t="s">
        <v>318</v>
      </c>
      <c r="O19" s="31">
        <f>O4</f>
        <v>0</v>
      </c>
      <c r="P19" s="170">
        <f>P4</f>
        <v>0</v>
      </c>
      <c r="Q19" s="32"/>
      <c r="R19" s="32"/>
      <c r="S19" s="31"/>
      <c r="T19" s="31"/>
      <c r="U19" s="31"/>
      <c r="V19" s="31"/>
      <c r="W19" s="31"/>
      <c r="X19" s="516" t="s">
        <v>51</v>
      </c>
      <c r="Z19" s="69" t="s">
        <v>52</v>
      </c>
      <c r="AA19" s="50">
        <v>5385</v>
      </c>
      <c r="AC19" s="30" t="s">
        <v>45</v>
      </c>
      <c r="AD19" s="188" t="s">
        <v>317</v>
      </c>
      <c r="AE19" s="32" t="s">
        <v>318</v>
      </c>
      <c r="AF19" s="31">
        <f>O4</f>
        <v>0</v>
      </c>
      <c r="AG19" s="170">
        <f>P4</f>
        <v>0</v>
      </c>
      <c r="AH19" s="32"/>
      <c r="AI19" s="32"/>
      <c r="AJ19" s="31"/>
      <c r="AK19" s="31"/>
      <c r="AL19" s="31"/>
      <c r="AM19" s="31"/>
      <c r="AN19" s="31"/>
      <c r="AO19" s="518" t="s">
        <v>51</v>
      </c>
    </row>
    <row r="20" spans="1:41">
      <c r="A20" s="108" t="s">
        <v>93</v>
      </c>
      <c r="B20" s="3">
        <f>J6/I5*100</f>
        <v>29.427415120430041</v>
      </c>
      <c r="C20" s="109"/>
      <c r="D20" s="109"/>
      <c r="E20" s="109"/>
      <c r="F20" s="109"/>
      <c r="G20" s="109"/>
      <c r="H20" s="109"/>
      <c r="J20" s="105"/>
      <c r="L20" s="118"/>
      <c r="M20" s="70">
        <v>1</v>
      </c>
      <c r="N20" s="70">
        <v>2</v>
      </c>
      <c r="O20" s="70">
        <v>3</v>
      </c>
      <c r="P20" s="70">
        <v>4</v>
      </c>
      <c r="Q20" s="70">
        <v>5</v>
      </c>
      <c r="R20" s="70">
        <v>6</v>
      </c>
      <c r="S20" s="70"/>
      <c r="T20" s="70"/>
      <c r="U20" s="70"/>
      <c r="V20" s="70"/>
      <c r="W20" s="70"/>
      <c r="X20" s="517"/>
      <c r="Z20" s="71" t="s">
        <v>55</v>
      </c>
      <c r="AA20" s="60">
        <f>I6+I7</f>
        <v>7200.1200000000008</v>
      </c>
      <c r="AC20" s="30"/>
      <c r="AD20" s="70">
        <v>1</v>
      </c>
      <c r="AE20" s="70">
        <v>2</v>
      </c>
      <c r="AF20" s="70">
        <v>3</v>
      </c>
      <c r="AG20" s="70">
        <v>4</v>
      </c>
      <c r="AH20" s="70">
        <v>5</v>
      </c>
      <c r="AI20" s="70">
        <v>6</v>
      </c>
      <c r="AJ20" s="70">
        <v>7</v>
      </c>
      <c r="AK20" s="70">
        <v>8</v>
      </c>
      <c r="AL20" s="70">
        <v>9</v>
      </c>
      <c r="AM20" s="70">
        <v>10</v>
      </c>
      <c r="AN20" s="70">
        <v>11</v>
      </c>
      <c r="AO20" s="519"/>
    </row>
    <row r="21" spans="1:41">
      <c r="A21" s="110" t="s">
        <v>94</v>
      </c>
      <c r="B21" s="3">
        <f>J9/I5*100</f>
        <v>60.017432942729044</v>
      </c>
      <c r="C21" s="109"/>
      <c r="D21" s="109"/>
      <c r="E21" s="109"/>
      <c r="F21" s="109"/>
      <c r="G21" s="109"/>
      <c r="H21" s="109"/>
      <c r="J21" s="105"/>
      <c r="L21" s="125"/>
      <c r="M21" s="73">
        <f>X21/2/2</f>
        <v>1346.25</v>
      </c>
      <c r="N21" s="73">
        <f>X21/2</f>
        <v>2692.5</v>
      </c>
      <c r="O21" s="73">
        <f>M21</f>
        <v>1346.25</v>
      </c>
      <c r="P21" s="73"/>
      <c r="Q21" s="73"/>
      <c r="R21" s="73"/>
      <c r="S21" s="73"/>
      <c r="T21" s="73"/>
      <c r="U21" s="73"/>
      <c r="V21" s="73"/>
      <c r="W21" s="73"/>
      <c r="X21" s="74">
        <f>AA19</f>
        <v>5385</v>
      </c>
      <c r="Z21" s="520" t="s">
        <v>90</v>
      </c>
      <c r="AA21" s="520"/>
      <c r="AC21" s="72"/>
      <c r="AD21" s="73">
        <f>AO21/2</f>
        <v>1762.5</v>
      </c>
      <c r="AE21" s="73">
        <f>AO21/2</f>
        <v>1762.5</v>
      </c>
      <c r="AF21" s="73">
        <f>AD21</f>
        <v>1762.5</v>
      </c>
      <c r="AG21" s="73"/>
      <c r="AH21" s="73"/>
      <c r="AI21" s="73"/>
      <c r="AJ21" s="73"/>
      <c r="AK21" s="73"/>
      <c r="AL21" s="73"/>
      <c r="AM21" s="73"/>
      <c r="AN21" s="73"/>
      <c r="AO21" s="126">
        <f>AA22</f>
        <v>3525</v>
      </c>
    </row>
    <row r="22" spans="1:41">
      <c r="A22" s="111" t="s">
        <v>95</v>
      </c>
      <c r="B22" s="2">
        <f>J14/I5*100</f>
        <v>10.555151936840925</v>
      </c>
      <c r="C22" s="109"/>
      <c r="D22" s="109"/>
      <c r="E22" s="109"/>
      <c r="F22" s="109"/>
      <c r="G22" s="109"/>
      <c r="H22" s="109"/>
      <c r="J22" s="105"/>
      <c r="L22" s="125"/>
      <c r="M22" s="75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5">
        <f>O22+N22+M22</f>
        <v>0</v>
      </c>
      <c r="Z22" s="69" t="s">
        <v>52</v>
      </c>
      <c r="AA22" s="50">
        <v>3525</v>
      </c>
      <c r="AC22" s="72"/>
      <c r="AD22" s="75">
        <f>2016+722.94+163.98+25+161.98</f>
        <v>3089.9</v>
      </c>
      <c r="AE22" s="76">
        <v>380.24</v>
      </c>
      <c r="AF22" s="76"/>
      <c r="AG22" s="76"/>
      <c r="AH22" s="76"/>
      <c r="AI22" s="76"/>
      <c r="AJ22" s="76"/>
      <c r="AK22" s="76"/>
      <c r="AL22" s="76"/>
      <c r="AM22" s="76"/>
      <c r="AN22" s="76"/>
      <c r="AO22" s="165">
        <f t="shared" ref="AO22" si="1">AD22+AE22+AF22+AG22+AH22+AI22+AN22+AJ22+AK22+AL22+AM22</f>
        <v>3470.1400000000003</v>
      </c>
    </row>
    <row r="23" spans="1:41">
      <c r="A23" s="84"/>
      <c r="J23" s="105"/>
      <c r="L23" s="84"/>
      <c r="Z23" s="71" t="s">
        <v>55</v>
      </c>
      <c r="AA23" s="77">
        <f>AO22</f>
        <v>3470.1400000000003</v>
      </c>
      <c r="AO23" s="105"/>
    </row>
    <row r="24" spans="1:41">
      <c r="A24" s="84"/>
      <c r="J24" s="105"/>
      <c r="L24" s="84"/>
      <c r="X24" s="128"/>
      <c r="AO24" s="105"/>
    </row>
    <row r="25" spans="1:41" ht="27.75" customHeight="1">
      <c r="A25" s="84"/>
      <c r="J25" s="105"/>
      <c r="L25" s="84"/>
      <c r="Z25" s="10" t="s">
        <v>96</v>
      </c>
      <c r="AA25" s="145">
        <v>5865.47</v>
      </c>
      <c r="AO25" s="105"/>
    </row>
    <row r="26" spans="1:41" ht="27.75">
      <c r="A26" s="84"/>
      <c r="J26" s="105"/>
      <c r="L26" s="84"/>
      <c r="Z26" s="10" t="s">
        <v>97</v>
      </c>
      <c r="AA26" s="145">
        <f>I8</f>
        <v>3537.9300000000003</v>
      </c>
      <c r="AO26" s="105"/>
    </row>
    <row r="27" spans="1:41">
      <c r="A27" s="84"/>
      <c r="J27" s="105"/>
      <c r="L27" s="84"/>
      <c r="AO27" s="105"/>
    </row>
    <row r="28" spans="1:41">
      <c r="A28" s="84"/>
      <c r="J28" s="105"/>
      <c r="L28" s="84"/>
      <c r="AO28" s="105"/>
    </row>
    <row r="29" spans="1:41">
      <c r="A29" s="84"/>
      <c r="J29" s="105"/>
      <c r="L29" s="84"/>
      <c r="AO29" s="105"/>
    </row>
    <row r="30" spans="1:41">
      <c r="A30" s="84"/>
      <c r="J30" s="105"/>
      <c r="L30" s="84"/>
      <c r="Z30" s="521" t="s">
        <v>98</v>
      </c>
      <c r="AA30" s="522"/>
      <c r="AO30" s="105"/>
    </row>
    <row r="31" spans="1:41">
      <c r="A31" s="84"/>
      <c r="J31" s="105"/>
      <c r="L31" s="84"/>
      <c r="Z31" s="523">
        <v>45184</v>
      </c>
      <c r="AA31" s="524"/>
      <c r="AO31" s="105"/>
    </row>
    <row r="32" spans="1:41">
      <c r="A32" s="112"/>
      <c r="B32" s="113"/>
      <c r="C32" s="113"/>
      <c r="D32" s="113"/>
      <c r="E32" s="113"/>
      <c r="F32" s="113"/>
      <c r="G32" s="113"/>
      <c r="H32" s="113"/>
      <c r="I32" s="113"/>
      <c r="J32" s="114"/>
      <c r="L32" s="112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525"/>
      <c r="AA32" s="526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4"/>
    </row>
    <row r="37" spans="11:11">
      <c r="K37" s="1"/>
    </row>
  </sheetData>
  <mergeCells count="21">
    <mergeCell ref="B1:AO1"/>
    <mergeCell ref="X19:X20"/>
    <mergeCell ref="AO19:AO20"/>
    <mergeCell ref="Z21:AA21"/>
    <mergeCell ref="Z30:AA30"/>
    <mergeCell ref="A2:J2"/>
    <mergeCell ref="L2:AO2"/>
    <mergeCell ref="C3:D3"/>
    <mergeCell ref="E3:F3"/>
    <mergeCell ref="I3:J3"/>
    <mergeCell ref="M3:W3"/>
    <mergeCell ref="Z3:AA3"/>
    <mergeCell ref="AD3:AN3"/>
    <mergeCell ref="G3:H3"/>
    <mergeCell ref="Z31:AA32"/>
    <mergeCell ref="X4:X5"/>
    <mergeCell ref="AO4:AO5"/>
    <mergeCell ref="Z6:AA6"/>
    <mergeCell ref="M18:W18"/>
    <mergeCell ref="Z18:AA18"/>
    <mergeCell ref="AD18:AN18"/>
  </mergeCells>
  <conditionalFormatting sqref="AA8">
    <cfRule type="cellIs" dxfId="20" priority="1" operator="greaterThan">
      <formula>$AA$7</formula>
    </cfRule>
  </conditionalFormatting>
  <pageMargins left="0.7" right="0.7" top="0.75" bottom="0.75" header="0.3" footer="0.3"/>
  <pageSetup paperSize="9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643D-C1C1-4201-8FEF-BA355749045B}">
  <sheetPr>
    <pageSetUpPr fitToPage="1"/>
  </sheetPr>
  <dimension ref="A1:AN38"/>
  <sheetViews>
    <sheetView workbookViewId="0">
      <selection activeCell="B1" sqref="B1:AM1"/>
    </sheetView>
  </sheetViews>
  <sheetFormatPr defaultRowHeight="15" outlineLevelCol="1"/>
  <cols>
    <col min="1" max="1" width="36.42578125" bestFit="1" customWidth="1"/>
    <col min="2" max="2" width="30.140625" bestFit="1" customWidth="1"/>
    <col min="3" max="5" width="10.7109375" customWidth="1"/>
    <col min="6" max="6" width="10.140625" customWidth="1"/>
    <col min="7" max="8" width="10.7109375" customWidth="1"/>
    <col min="9" max="9" width="3.28515625" customWidth="1"/>
    <col min="10" max="10" width="0.5703125" hidden="1" customWidth="1" outlineLevel="1"/>
    <col min="11" max="11" width="10.7109375" hidden="1" customWidth="1" outlineLevel="1" collapsed="1"/>
    <col min="12" max="15" width="10.7109375" hidden="1" customWidth="1" outlineLevel="1"/>
    <col min="16" max="20" width="9.140625" hidden="1" customWidth="1" outlineLevel="1"/>
    <col min="21" max="21" width="1.42578125" hidden="1" customWidth="1" outlineLevel="1"/>
    <col min="22" max="22" width="9.140625" hidden="1" customWidth="1" outlineLevel="1" collapsed="1"/>
    <col min="23" max="23" width="3" hidden="1" customWidth="1" outlineLevel="1" collapsed="1"/>
    <col min="24" max="24" width="23.7109375" customWidth="1" collapsed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customWidth="1"/>
    <col min="32" max="32" width="12.7109375" customWidth="1"/>
    <col min="33" max="37" width="12.7109375" hidden="1" customWidth="1" outlineLevel="1"/>
    <col min="38" max="38" width="2.28515625" hidden="1" customWidth="1" outlineLevel="1"/>
    <col min="39" max="39" width="12.7109375" customWidth="1" collapsed="1"/>
    <col min="40" max="40" width="12.7109375" customWidth="1"/>
  </cols>
  <sheetData>
    <row r="1" spans="1:40" ht="25.5" customHeight="1">
      <c r="A1" s="237" t="s">
        <v>319</v>
      </c>
      <c r="B1" s="576" t="s">
        <v>320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</row>
    <row r="2" spans="1:40" ht="18.75">
      <c r="A2" s="537" t="s">
        <v>35</v>
      </c>
      <c r="B2" s="574"/>
      <c r="C2" s="574"/>
      <c r="D2" s="574"/>
      <c r="E2" s="574"/>
      <c r="F2" s="574"/>
      <c r="G2" s="574"/>
      <c r="H2" s="575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  <c r="AN2" s="1">
        <f>H9-G12-G11</f>
        <v>27680.795829000002</v>
      </c>
    </row>
    <row r="3" spans="1:40" ht="15.75" customHeight="1">
      <c r="A3" s="84"/>
      <c r="C3" s="543" t="s">
        <v>321</v>
      </c>
      <c r="D3" s="581"/>
      <c r="E3" s="589" t="s">
        <v>322</v>
      </c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  <c r="AN3">
        <f>AN2/AM7</f>
        <v>29.773901074540177</v>
      </c>
    </row>
    <row r="4" spans="1:40" ht="16.5" customHeight="1">
      <c r="A4" s="85" t="s">
        <v>43</v>
      </c>
      <c r="B4" s="5" t="s">
        <v>44</v>
      </c>
      <c r="C4" s="83">
        <f>G4/5*2</f>
        <v>29318.955999999998</v>
      </c>
      <c r="D4" s="11"/>
      <c r="E4" s="267">
        <f>G4/5*3+Y11</f>
        <v>54275.823999999993</v>
      </c>
      <c r="G4" s="153">
        <f>Y10+Y11</f>
        <v>73297.39</v>
      </c>
      <c r="H4" s="86"/>
      <c r="J4" s="178" t="s">
        <v>45</v>
      </c>
      <c r="K4" s="32" t="s">
        <v>323</v>
      </c>
      <c r="L4" s="31" t="s">
        <v>324</v>
      </c>
      <c r="M4" s="170" t="s">
        <v>325</v>
      </c>
      <c r="N4" s="170" t="s">
        <v>326</v>
      </c>
      <c r="O4" s="32" t="s">
        <v>327</v>
      </c>
      <c r="P4" s="32" t="s">
        <v>328</v>
      </c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V6</f>
        <v>1</v>
      </c>
      <c r="Z4" s="116"/>
      <c r="AA4" s="30" t="s">
        <v>45</v>
      </c>
      <c r="AB4" s="32" t="s">
        <v>329</v>
      </c>
      <c r="AC4" s="31" t="s">
        <v>330</v>
      </c>
      <c r="AD4" s="170" t="s">
        <v>331</v>
      </c>
      <c r="AE4" s="170" t="s">
        <v>326</v>
      </c>
      <c r="AF4" s="32" t="s">
        <v>327</v>
      </c>
      <c r="AG4" s="32" t="s">
        <v>328</v>
      </c>
      <c r="AH4" s="32"/>
      <c r="AI4" s="32"/>
      <c r="AJ4" s="32"/>
      <c r="AK4" s="32"/>
      <c r="AL4" s="32"/>
      <c r="AM4" s="529" t="s">
        <v>51</v>
      </c>
    </row>
    <row r="5" spans="1:40">
      <c r="A5" s="85" t="s">
        <v>53</v>
      </c>
      <c r="B5" s="5" t="s">
        <v>54</v>
      </c>
      <c r="C5" s="192">
        <f>C6+C7+C8+C9+C10+C11+C13+C14+C16+C15+C12</f>
        <v>30059.072305839996</v>
      </c>
      <c r="D5" s="12"/>
      <c r="E5" s="240">
        <f>E6+E7+E8+E9+E10+E11+E13+E14+E16+E15+E12</f>
        <v>32212.671789480002</v>
      </c>
      <c r="F5" s="5"/>
      <c r="G5" s="154">
        <f>G6+G7+G8+G9+G10+G11+G13+G14+G16+G15+G12+G17</f>
        <v>62271.744095319991</v>
      </c>
      <c r="H5" s="87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V7+V8</f>
        <v>1.1634506349206348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40">
      <c r="A6" s="88" t="s">
        <v>56</v>
      </c>
      <c r="B6" s="81" t="s">
        <v>57</v>
      </c>
      <c r="C6" s="19">
        <f>7295.71+825.11</f>
        <v>8120.82</v>
      </c>
      <c r="D6" s="13">
        <f>C6+C7+C8</f>
        <v>8281.9</v>
      </c>
      <c r="E6" s="142">
        <f>4058.76+921.09</f>
        <v>4979.8500000000004</v>
      </c>
      <c r="F6" s="13">
        <f>E6+E7+E8</f>
        <v>9237.2000000000007</v>
      </c>
      <c r="G6" s="9">
        <f>C6+E6</f>
        <v>13100.67</v>
      </c>
      <c r="H6" s="90">
        <f>G6+G7+G8</f>
        <v>17519.099999999999</v>
      </c>
      <c r="J6" s="180"/>
      <c r="K6" s="40">
        <v>0.2</v>
      </c>
      <c r="L6" s="40">
        <v>0.4</v>
      </c>
      <c r="M6" s="40">
        <v>0.6</v>
      </c>
      <c r="N6" s="40">
        <v>0.8</v>
      </c>
      <c r="O6" s="40">
        <v>0.9</v>
      </c>
      <c r="P6" s="40">
        <v>1</v>
      </c>
      <c r="Q6" s="40"/>
      <c r="R6" s="40"/>
      <c r="S6" s="40"/>
      <c r="T6" s="40"/>
      <c r="U6" s="41"/>
      <c r="V6" s="40">
        <f>P6</f>
        <v>1</v>
      </c>
      <c r="X6" s="531" t="s">
        <v>58</v>
      </c>
      <c r="Y6" s="532"/>
      <c r="AA6" s="42"/>
      <c r="AB6" s="43">
        <f>AM6/5</f>
        <v>199.2</v>
      </c>
      <c r="AC6" s="43">
        <f>AB6</f>
        <v>199.2</v>
      </c>
      <c r="AD6" s="43">
        <f>AB6</f>
        <v>199.2</v>
      </c>
      <c r="AE6" s="43">
        <f>AD6</f>
        <v>199.2</v>
      </c>
      <c r="AF6" s="43">
        <f>AE6</f>
        <v>199.2</v>
      </c>
      <c r="AG6" s="43"/>
      <c r="AH6" s="44"/>
      <c r="AI6" s="44"/>
      <c r="AJ6" s="44"/>
      <c r="AK6" s="44"/>
      <c r="AL6" s="44"/>
      <c r="AM6" s="121">
        <v>996</v>
      </c>
    </row>
    <row r="7" spans="1:40">
      <c r="A7" s="91" t="s">
        <v>59</v>
      </c>
      <c r="B7" s="92" t="s">
        <v>60</v>
      </c>
      <c r="C7" s="134"/>
      <c r="D7" s="13"/>
      <c r="E7" s="156">
        <f>225+1240+310+100</f>
        <v>1875</v>
      </c>
      <c r="F7" s="13"/>
      <c r="G7" s="9">
        <f t="shared" ref="G7:G16" si="0">C7+E7</f>
        <v>1875</v>
      </c>
      <c r="H7" s="90"/>
      <c r="J7" s="181"/>
      <c r="K7" s="48"/>
      <c r="L7" s="46"/>
      <c r="M7" s="46"/>
      <c r="N7" s="46"/>
      <c r="O7" s="46"/>
      <c r="P7" s="46">
        <v>1</v>
      </c>
      <c r="Q7" s="46"/>
      <c r="R7" s="46"/>
      <c r="S7" s="46"/>
      <c r="T7" s="46"/>
      <c r="U7" s="47"/>
      <c r="V7" s="48">
        <f>P7</f>
        <v>1</v>
      </c>
      <c r="X7" s="49" t="s">
        <v>52</v>
      </c>
      <c r="Y7" s="50">
        <f>AM6/Y13</f>
        <v>6.4970645792563593</v>
      </c>
      <c r="AA7" s="51"/>
      <c r="AB7" s="52">
        <v>145</v>
      </c>
      <c r="AC7" s="53">
        <f>154+36</f>
        <v>190</v>
      </c>
      <c r="AD7" s="53">
        <f>133.5</f>
        <v>133.5</v>
      </c>
      <c r="AE7" s="53">
        <v>201.7</v>
      </c>
      <c r="AF7" s="53">
        <v>259.5</v>
      </c>
      <c r="AG7" s="53"/>
      <c r="AH7" s="54"/>
      <c r="AI7" s="54"/>
      <c r="AJ7" s="54"/>
      <c r="AK7" s="54"/>
      <c r="AL7" s="54"/>
      <c r="AM7" s="213">
        <f t="shared" ref="AM7" si="1">AB7+AC7+AD7+AE7+AF7+AG7+AL7+AH7+AI7+AJ7+AK7</f>
        <v>929.7</v>
      </c>
    </row>
    <row r="8" spans="1:40">
      <c r="A8" s="93" t="s">
        <v>61</v>
      </c>
      <c r="B8" s="82" t="s">
        <v>62</v>
      </c>
      <c r="C8" s="20">
        <f>161.08</f>
        <v>161.08000000000001</v>
      </c>
      <c r="D8" s="14"/>
      <c r="E8" s="157">
        <f>107.39*2+131.99+156.6+1700+178.98</f>
        <v>2382.35</v>
      </c>
      <c r="F8" s="14"/>
      <c r="G8" s="9">
        <f t="shared" si="0"/>
        <v>2543.4299999999998</v>
      </c>
      <c r="H8" s="95"/>
      <c r="J8" s="182"/>
      <c r="K8" s="55"/>
      <c r="L8" s="55"/>
      <c r="M8" s="55"/>
      <c r="N8" s="56"/>
      <c r="O8" s="57"/>
      <c r="P8" s="56">
        <f>Y11/Y10</f>
        <v>0.16345063492063491</v>
      </c>
      <c r="Q8" s="58"/>
      <c r="R8" s="58"/>
      <c r="S8" s="58"/>
      <c r="T8" s="58"/>
      <c r="U8" s="58"/>
      <c r="V8" s="56">
        <f>SUM(K8:U8)</f>
        <v>0.16345063492063491</v>
      </c>
      <c r="X8" s="59" t="s">
        <v>55</v>
      </c>
      <c r="Y8" s="77">
        <f>AM7/Y13</f>
        <v>6.0645792563600782</v>
      </c>
      <c r="AM8" s="105"/>
    </row>
    <row r="9" spans="1:40">
      <c r="A9" s="88" t="s">
        <v>63</v>
      </c>
      <c r="B9" s="81" t="s">
        <v>64</v>
      </c>
      <c r="C9" s="138">
        <f>3044*1.42+675*1.42+(18*14+18*15-200)*1.42</f>
        <v>5738.2199999999993</v>
      </c>
      <c r="D9" s="151">
        <f>C9+C10+C11+C13+C12</f>
        <v>13611.542305839999</v>
      </c>
      <c r="E9" s="354">
        <f>((3000/4.5*3+390*15+148*12+27*13.5+28.5*14)-C13)*1.42</f>
        <v>9215.09</v>
      </c>
      <c r="F9" s="137">
        <f>E9+E10+E11+E13+E12</f>
        <v>21399.351789480002</v>
      </c>
      <c r="G9" s="24">
        <f t="shared" si="0"/>
        <v>14953.31</v>
      </c>
      <c r="H9" s="96">
        <f>G9+G10+G11+G13+G12</f>
        <v>35010.89409532</v>
      </c>
      <c r="J9" s="84"/>
      <c r="AM9" s="105"/>
    </row>
    <row r="10" spans="1:40">
      <c r="A10" s="91" t="s">
        <v>65</v>
      </c>
      <c r="B10" s="92" t="s">
        <v>66</v>
      </c>
      <c r="C10" s="134">
        <f>C9*0.2359</f>
        <v>1353.6460979999999</v>
      </c>
      <c r="D10" s="13"/>
      <c r="E10" s="156">
        <f>E9*0.2359</f>
        <v>2173.839731</v>
      </c>
      <c r="F10" s="89"/>
      <c r="G10" s="25">
        <f t="shared" si="0"/>
        <v>3527.4858290000002</v>
      </c>
      <c r="H10" s="95"/>
      <c r="J10" s="84"/>
      <c r="X10" s="10" t="s">
        <v>67</v>
      </c>
      <c r="Y10" s="61">
        <v>63000</v>
      </c>
      <c r="AM10" s="105"/>
    </row>
    <row r="11" spans="1:40">
      <c r="A11" s="91" t="s">
        <v>68</v>
      </c>
      <c r="B11" s="92" t="s">
        <v>69</v>
      </c>
      <c r="C11" s="134">
        <f>(C9+C10)*0.08</f>
        <v>567.34928783999999</v>
      </c>
      <c r="D11" s="13"/>
      <c r="E11" s="156">
        <f>(E9+E10)*0.08</f>
        <v>911.11437848000003</v>
      </c>
      <c r="F11" s="89"/>
      <c r="G11" s="25">
        <f t="shared" si="0"/>
        <v>1478.4636663199999</v>
      </c>
      <c r="H11" s="95"/>
      <c r="J11" s="84"/>
      <c r="X11" s="62" t="s">
        <v>70</v>
      </c>
      <c r="Y11" s="201">
        <v>10297.39</v>
      </c>
      <c r="AM11" s="105"/>
    </row>
    <row r="12" spans="1:40">
      <c r="A12" s="97" t="s">
        <v>71</v>
      </c>
      <c r="B12" s="98" t="s">
        <v>72</v>
      </c>
      <c r="C12" s="135">
        <f>(C4)*0.07</f>
        <v>2052.32692</v>
      </c>
      <c r="D12" s="142"/>
      <c r="E12" s="159">
        <f>(E4)*0.07</f>
        <v>3799.3076799999999</v>
      </c>
      <c r="F12" s="131"/>
      <c r="G12" s="25">
        <f t="shared" si="0"/>
        <v>5851.6345999999994</v>
      </c>
      <c r="H12" s="95"/>
      <c r="J12" s="84"/>
      <c r="AM12" s="105"/>
    </row>
    <row r="13" spans="1:40">
      <c r="A13" s="91" t="s">
        <v>73</v>
      </c>
      <c r="B13" s="92" t="s">
        <v>74</v>
      </c>
      <c r="C13" s="139">
        <f>2950+650+2*2*50+100</f>
        <v>3900</v>
      </c>
      <c r="D13" s="143"/>
      <c r="E13" s="162">
        <f>106*50</f>
        <v>5300</v>
      </c>
      <c r="F13" s="133"/>
      <c r="G13" s="26">
        <f t="shared" si="0"/>
        <v>9200</v>
      </c>
      <c r="H13" s="99"/>
      <c r="J13" s="84"/>
      <c r="X13" s="64" t="s">
        <v>75</v>
      </c>
      <c r="Y13" s="65">
        <v>153.30000000000001</v>
      </c>
      <c r="AM13" s="105"/>
    </row>
    <row r="14" spans="1:40">
      <c r="A14" s="100" t="s">
        <v>76</v>
      </c>
      <c r="B14" s="81" t="s">
        <v>77</v>
      </c>
      <c r="C14" s="135">
        <f>2165+58.9+3300+245+67.35</f>
        <v>5836.25</v>
      </c>
      <c r="D14" s="13">
        <f>C14+C16+C15</f>
        <v>8165.6299999999992</v>
      </c>
      <c r="E14" s="159">
        <f>588+188.06</f>
        <v>776.06</v>
      </c>
      <c r="F14" s="13">
        <f>E14+E16+E15</f>
        <v>1576.1200000000001</v>
      </c>
      <c r="G14" s="9">
        <f t="shared" si="0"/>
        <v>6612.3099999999995</v>
      </c>
      <c r="H14" s="95">
        <f>G14+G16+G15+G17</f>
        <v>9741.75</v>
      </c>
      <c r="J14" s="84"/>
      <c r="X14" s="66" t="s">
        <v>78</v>
      </c>
      <c r="Y14" s="66" t="s">
        <v>79</v>
      </c>
      <c r="AM14" s="105"/>
    </row>
    <row r="15" spans="1:40">
      <c r="A15" s="101" t="s">
        <v>80</v>
      </c>
      <c r="B15" s="92" t="s">
        <v>81</v>
      </c>
      <c r="C15" s="135">
        <f>357.98+458.5+34.9+202.16+62+103.6+63+20+252.98+52.7+189.99+121+16.04</f>
        <v>1934.85</v>
      </c>
      <c r="D15" s="13"/>
      <c r="E15" s="159">
        <f>385.17+14.6+54.5+52.1+20+57.7+33.2</f>
        <v>617.27000000000021</v>
      </c>
      <c r="F15" s="13"/>
      <c r="G15" s="9">
        <f t="shared" si="0"/>
        <v>2552.12</v>
      </c>
      <c r="H15" s="95"/>
      <c r="J15" s="84"/>
      <c r="X15" s="67" t="s">
        <v>82</v>
      </c>
      <c r="Y15" s="68">
        <v>13</v>
      </c>
      <c r="AM15" s="105"/>
    </row>
    <row r="16" spans="1:40">
      <c r="A16" s="91" t="s">
        <v>83</v>
      </c>
      <c r="B16" s="92" t="s">
        <v>84</v>
      </c>
      <c r="C16" s="134">
        <v>394.53</v>
      </c>
      <c r="D16" s="13"/>
      <c r="E16" s="13">
        <f>125+19.8+37.99</f>
        <v>182.79000000000002</v>
      </c>
      <c r="F16" s="13"/>
      <c r="G16" s="9">
        <f t="shared" si="0"/>
        <v>577.31999999999994</v>
      </c>
      <c r="H16" s="95"/>
      <c r="J16" s="84"/>
      <c r="X16" s="67" t="s">
        <v>85</v>
      </c>
      <c r="Y16" s="68">
        <v>12</v>
      </c>
      <c r="AM16" s="105"/>
    </row>
    <row r="17" spans="1:39">
      <c r="A17" s="91"/>
      <c r="B17" s="92"/>
      <c r="C17" s="134"/>
      <c r="D17" s="13"/>
      <c r="E17" s="13"/>
      <c r="F17" s="13"/>
      <c r="G17" s="9"/>
      <c r="H17" s="95"/>
      <c r="J17" s="84"/>
      <c r="X17" s="202"/>
      <c r="Y17" s="203"/>
      <c r="AM17" s="105"/>
    </row>
    <row r="18" spans="1:39">
      <c r="A18" s="85" t="s">
        <v>86</v>
      </c>
      <c r="B18" s="5" t="s">
        <v>87</v>
      </c>
      <c r="C18" s="185">
        <f>C4-C5</f>
        <v>-740.11630583999795</v>
      </c>
      <c r="D18" s="129">
        <f>C18/C4</f>
        <v>-2.5243610510551535E-2</v>
      </c>
      <c r="E18" s="197">
        <f>E4-E5</f>
        <v>22063.152210519991</v>
      </c>
      <c r="F18" s="130">
        <f>E18/E4</f>
        <v>0.4065005482094568</v>
      </c>
      <c r="G18" s="16">
        <f>G4-G5</f>
        <v>11025.645904680008</v>
      </c>
      <c r="H18" s="102">
        <f>G18/G4</f>
        <v>0.15042344488228038</v>
      </c>
      <c r="J18" s="84"/>
      <c r="AM18" s="105"/>
    </row>
    <row r="19" spans="1:39" ht="20.25" customHeight="1">
      <c r="A19" s="103"/>
      <c r="B19" s="104"/>
      <c r="C19" s="104"/>
      <c r="D19" s="104"/>
      <c r="E19" s="104"/>
      <c r="F19" s="104"/>
      <c r="H19" s="105"/>
      <c r="J19" s="115" t="s">
        <v>40</v>
      </c>
      <c r="K19" s="533" t="s">
        <v>88</v>
      </c>
      <c r="L19" s="534"/>
      <c r="M19" s="534"/>
      <c r="N19" s="534"/>
      <c r="O19" s="534"/>
      <c r="P19" s="534"/>
      <c r="Q19" s="534"/>
      <c r="R19" s="534"/>
      <c r="S19" s="534"/>
      <c r="T19" s="534"/>
      <c r="U19" s="535"/>
      <c r="V19" s="29"/>
      <c r="X19" s="520" t="s">
        <v>89</v>
      </c>
      <c r="Y19" s="520"/>
      <c r="AA19" s="27" t="s">
        <v>40</v>
      </c>
      <c r="AB19" s="533" t="s">
        <v>90</v>
      </c>
      <c r="AC19" s="534"/>
      <c r="AD19" s="534"/>
      <c r="AE19" s="534"/>
      <c r="AF19" s="534"/>
      <c r="AG19" s="534"/>
      <c r="AH19" s="534"/>
      <c r="AI19" s="534"/>
      <c r="AJ19" s="534"/>
      <c r="AK19" s="534"/>
      <c r="AL19" s="535"/>
      <c r="AM19" s="117"/>
    </row>
    <row r="20" spans="1:39" ht="24" customHeight="1">
      <c r="A20" s="106" t="s">
        <v>91</v>
      </c>
      <c r="B20" s="4" t="s">
        <v>92</v>
      </c>
      <c r="C20" s="107"/>
      <c r="D20" s="107"/>
      <c r="E20" s="107"/>
      <c r="F20" s="107"/>
      <c r="H20" s="105"/>
      <c r="J20" s="118" t="s">
        <v>45</v>
      </c>
      <c r="K20" s="32" t="s">
        <v>323</v>
      </c>
      <c r="L20" s="31" t="s">
        <v>324</v>
      </c>
      <c r="M20" s="170" t="s">
        <v>325</v>
      </c>
      <c r="N20" s="170" t="s">
        <v>326</v>
      </c>
      <c r="O20" s="32" t="s">
        <v>327</v>
      </c>
      <c r="P20" s="32" t="s">
        <v>328</v>
      </c>
      <c r="Q20" s="31"/>
      <c r="R20" s="31"/>
      <c r="S20" s="31"/>
      <c r="T20" s="31"/>
      <c r="U20" s="31"/>
      <c r="V20" s="516" t="s">
        <v>51</v>
      </c>
      <c r="X20" s="69" t="s">
        <v>52</v>
      </c>
      <c r="Y20" s="50">
        <v>13034</v>
      </c>
      <c r="AA20" s="30" t="s">
        <v>45</v>
      </c>
      <c r="AB20" s="32" t="s">
        <v>329</v>
      </c>
      <c r="AC20" s="31" t="s">
        <v>330</v>
      </c>
      <c r="AD20" s="170" t="s">
        <v>331</v>
      </c>
      <c r="AE20" s="170" t="s">
        <v>326</v>
      </c>
      <c r="AF20" s="32" t="s">
        <v>327</v>
      </c>
      <c r="AG20" s="32" t="s">
        <v>328</v>
      </c>
      <c r="AH20" s="31"/>
      <c r="AI20" s="31"/>
      <c r="AJ20" s="31"/>
      <c r="AK20" s="31"/>
      <c r="AL20" s="31"/>
      <c r="AM20" s="518" t="s">
        <v>51</v>
      </c>
    </row>
    <row r="21" spans="1:39">
      <c r="A21" s="108" t="s">
        <v>93</v>
      </c>
      <c r="B21" s="3">
        <f>H6/G5*100</f>
        <v>28.133305489538458</v>
      </c>
      <c r="C21" s="109"/>
      <c r="D21" s="109"/>
      <c r="E21" s="109"/>
      <c r="F21" s="109"/>
      <c r="H21" s="105"/>
      <c r="J21" s="118"/>
      <c r="K21" s="70">
        <v>1</v>
      </c>
      <c r="L21" s="70">
        <v>2</v>
      </c>
      <c r="M21" s="70">
        <v>3</v>
      </c>
      <c r="N21" s="70">
        <v>4</v>
      </c>
      <c r="O21" s="70">
        <v>5</v>
      </c>
      <c r="P21" s="70">
        <v>6</v>
      </c>
      <c r="Q21" s="70"/>
      <c r="R21" s="70"/>
      <c r="S21" s="70"/>
      <c r="T21" s="70"/>
      <c r="U21" s="70"/>
      <c r="V21" s="517"/>
      <c r="X21" s="71" t="s">
        <v>55</v>
      </c>
      <c r="Y21" s="77">
        <f>G6+G7</f>
        <v>14975.67</v>
      </c>
      <c r="AA21" s="30"/>
      <c r="AB21" s="70">
        <v>1</v>
      </c>
      <c r="AC21" s="70">
        <v>2</v>
      </c>
      <c r="AD21" s="70">
        <v>3</v>
      </c>
      <c r="AE21" s="70">
        <v>4</v>
      </c>
      <c r="AF21" s="70">
        <v>5</v>
      </c>
      <c r="AG21" s="70">
        <v>6</v>
      </c>
      <c r="AH21" s="70">
        <v>7</v>
      </c>
      <c r="AI21" s="70">
        <v>8</v>
      </c>
      <c r="AJ21" s="70">
        <v>9</v>
      </c>
      <c r="AK21" s="70">
        <v>10</v>
      </c>
      <c r="AL21" s="70">
        <v>11</v>
      </c>
      <c r="AM21" s="519"/>
    </row>
    <row r="22" spans="1:39">
      <c r="A22" s="110" t="s">
        <v>94</v>
      </c>
      <c r="B22" s="3">
        <f>H9/G5*100</f>
        <v>56.222761388742327</v>
      </c>
      <c r="C22" s="109"/>
      <c r="D22" s="109"/>
      <c r="E22" s="109"/>
      <c r="F22" s="109"/>
      <c r="H22" s="105"/>
      <c r="J22" s="125"/>
      <c r="K22" s="73">
        <f>V22/4</f>
        <v>3258.5</v>
      </c>
      <c r="L22" s="73">
        <f>K22</f>
        <v>3258.5</v>
      </c>
      <c r="M22" s="73">
        <f>K22</f>
        <v>3258.5</v>
      </c>
      <c r="N22" s="73">
        <f>V22/4</f>
        <v>3258.5</v>
      </c>
      <c r="O22" s="73"/>
      <c r="P22" s="73"/>
      <c r="Q22" s="73"/>
      <c r="R22" s="73"/>
      <c r="S22" s="73"/>
      <c r="T22" s="73"/>
      <c r="U22" s="73"/>
      <c r="V22" s="74">
        <f>Y20</f>
        <v>13034</v>
      </c>
      <c r="X22" s="520" t="s">
        <v>90</v>
      </c>
      <c r="Y22" s="520"/>
      <c r="AA22" s="72"/>
      <c r="AB22" s="73">
        <f>AM22/5</f>
        <v>1080</v>
      </c>
      <c r="AC22" s="73">
        <f>AB22</f>
        <v>1080</v>
      </c>
      <c r="AD22" s="73">
        <f>AB22</f>
        <v>1080</v>
      </c>
      <c r="AE22" s="73">
        <f>AM22/4</f>
        <v>1350</v>
      </c>
      <c r="AF22" s="73">
        <f>AE22</f>
        <v>1350</v>
      </c>
      <c r="AG22" s="73"/>
      <c r="AH22" s="73"/>
      <c r="AI22" s="73"/>
      <c r="AJ22" s="73"/>
      <c r="AK22" s="73"/>
      <c r="AL22" s="73"/>
      <c r="AM22" s="126">
        <f>Y23</f>
        <v>5400</v>
      </c>
    </row>
    <row r="23" spans="1:39">
      <c r="A23" s="111" t="s">
        <v>95</v>
      </c>
      <c r="B23" s="2">
        <f>H14/G5*100</f>
        <v>15.643933121719225</v>
      </c>
      <c r="C23" s="109"/>
      <c r="D23" s="109"/>
      <c r="E23" s="109"/>
      <c r="F23" s="109"/>
      <c r="H23" s="105"/>
      <c r="J23" s="125"/>
      <c r="K23" s="75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163">
        <f t="shared" ref="V23" si="2">K23+L23+M23+N23+O23+P23+U23+Q23+R23+S23+T23</f>
        <v>0</v>
      </c>
      <c r="X23" s="69" t="s">
        <v>52</v>
      </c>
      <c r="Y23" s="50">
        <f>3500+1900</f>
        <v>5400</v>
      </c>
      <c r="AA23" s="72"/>
      <c r="AB23" s="75">
        <f>2165+357.98+58.9+202.16+62+103.6+1064+121</f>
        <v>4134.6399999999994</v>
      </c>
      <c r="AC23" s="76">
        <f>3300+252.98+83</f>
        <v>3635.98</v>
      </c>
      <c r="AD23" s="76">
        <f>385.17+54.5+52.1+20+14.6</f>
        <v>526.37</v>
      </c>
      <c r="AE23" s="76">
        <f>57.7+3</f>
        <v>60.7</v>
      </c>
      <c r="AF23" s="76">
        <f>588+59+160.21</f>
        <v>807.21</v>
      </c>
      <c r="AG23" s="76"/>
      <c r="AH23" s="76"/>
      <c r="AI23" s="76"/>
      <c r="AJ23" s="76"/>
      <c r="AK23" s="76"/>
      <c r="AL23" s="76"/>
      <c r="AM23" s="165">
        <f t="shared" ref="AM23" si="3">AB23+AC23+AD23+AE23+AF23+AG23+AL23+AH23+AI23+AJ23+AK23</f>
        <v>9164.9000000000015</v>
      </c>
    </row>
    <row r="24" spans="1:39">
      <c r="A24" s="84"/>
      <c r="H24" s="105"/>
      <c r="J24" s="84"/>
      <c r="X24" s="71" t="s">
        <v>55</v>
      </c>
      <c r="Y24" s="77">
        <f>AM23</f>
        <v>9164.9000000000015</v>
      </c>
      <c r="AM24" s="105"/>
    </row>
    <row r="25" spans="1:39">
      <c r="A25" s="84"/>
      <c r="H25" s="105"/>
      <c r="J25" s="84"/>
      <c r="V25" s="128"/>
      <c r="AM25" s="105"/>
    </row>
    <row r="26" spans="1:39" ht="27" customHeight="1">
      <c r="A26" s="84"/>
      <c r="H26" s="105"/>
      <c r="J26" s="84"/>
      <c r="X26" s="10" t="s">
        <v>96</v>
      </c>
      <c r="Y26" s="145"/>
      <c r="AM26" s="105"/>
    </row>
    <row r="27" spans="1:39" ht="27.75">
      <c r="A27" s="84"/>
      <c r="H27" s="105"/>
      <c r="J27" s="84"/>
      <c r="X27" s="10" t="s">
        <v>97</v>
      </c>
      <c r="Y27" s="145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AM30" s="105"/>
    </row>
    <row r="31" spans="1:39">
      <c r="A31" s="84"/>
      <c r="H31" s="105"/>
      <c r="J31" s="84"/>
      <c r="X31" s="521" t="s">
        <v>98</v>
      </c>
      <c r="Y31" s="522"/>
      <c r="AM31" s="105"/>
    </row>
    <row r="32" spans="1:39">
      <c r="A32" s="84"/>
      <c r="H32" s="105"/>
      <c r="J32" s="84"/>
      <c r="X32" s="523">
        <v>45184</v>
      </c>
      <c r="Y32" s="524"/>
      <c r="AM32" s="105"/>
    </row>
    <row r="33" spans="1:39">
      <c r="A33" s="112"/>
      <c r="B33" s="113"/>
      <c r="C33" s="113"/>
      <c r="D33" s="113"/>
      <c r="E33" s="113"/>
      <c r="F33" s="113"/>
      <c r="G33" s="113"/>
      <c r="H33" s="114"/>
      <c r="J33" s="112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525"/>
      <c r="Y33" s="526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4"/>
    </row>
    <row r="38" spans="1:39">
      <c r="I38" s="1"/>
    </row>
  </sheetData>
  <mergeCells count="20">
    <mergeCell ref="B1:AM1"/>
    <mergeCell ref="V20:V21"/>
    <mergeCell ref="AM20:AM21"/>
    <mergeCell ref="X22:Y22"/>
    <mergeCell ref="X31:Y31"/>
    <mergeCell ref="A2:H2"/>
    <mergeCell ref="J2:AM2"/>
    <mergeCell ref="C3:D3"/>
    <mergeCell ref="E3:F3"/>
    <mergeCell ref="G3:H3"/>
    <mergeCell ref="K3:U3"/>
    <mergeCell ref="X3:Y3"/>
    <mergeCell ref="AB3:AL3"/>
    <mergeCell ref="X32:Y33"/>
    <mergeCell ref="V4:V5"/>
    <mergeCell ref="AM4:AM5"/>
    <mergeCell ref="X6:Y6"/>
    <mergeCell ref="K19:U19"/>
    <mergeCell ref="X19:Y19"/>
    <mergeCell ref="AB19:AL19"/>
  </mergeCells>
  <conditionalFormatting sqref="Y21">
    <cfRule type="cellIs" dxfId="19" priority="1" operator="greaterThan">
      <formula>$Y$20</formula>
    </cfRule>
  </conditionalFormatting>
  <conditionalFormatting sqref="Y24">
    <cfRule type="cellIs" dxfId="18" priority="2" operator="greaterThan">
      <formula>$Y$23</formula>
    </cfRule>
  </conditionalFormatting>
  <pageMargins left="0.7" right="0.7" top="0.75" bottom="0.75" header="0.3" footer="0.3"/>
  <pageSetup paperSize="9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3DAE-05A8-4593-AA65-ED9AB5C924EE}">
  <sheetPr>
    <pageSetUpPr fitToPage="1"/>
  </sheetPr>
  <dimension ref="A1:AM48"/>
  <sheetViews>
    <sheetView workbookViewId="0">
      <selection activeCell="B1" sqref="B1:AM1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0.7109375" hidden="1" customWidth="1" outlineLevel="1"/>
    <col min="6" max="6" width="10.140625" hidden="1" customWidth="1" outlineLevel="1"/>
    <col min="7" max="7" width="10.7109375" customWidth="1" collapsed="1"/>
    <col min="8" max="8" width="10.7109375" customWidth="1"/>
    <col min="9" max="9" width="3.28515625" customWidth="1"/>
    <col min="10" max="10" width="0.5703125" hidden="1" customWidth="1" outlineLevel="1"/>
    <col min="11" max="15" width="10.7109375" hidden="1" customWidth="1" outlineLevel="1"/>
    <col min="16" max="20" width="9.140625" hidden="1" customWidth="1" outlineLevel="1"/>
    <col min="21" max="21" width="1.42578125" hidden="1" customWidth="1" outlineLevel="1"/>
    <col min="22" max="22" width="9.140625" hidden="1" customWidth="1" outlineLevel="1" collapsed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hidden="1" customWidth="1" outlineLevel="1"/>
    <col min="32" max="37" width="12.7109375" hidden="1" customWidth="1" outlineLevel="1"/>
    <col min="38" max="38" width="1.85546875" hidden="1" customWidth="1" outlineLevel="1"/>
    <col min="39" max="39" width="12.7109375" customWidth="1" collapsed="1"/>
    <col min="40" max="40" width="12.7109375" customWidth="1"/>
  </cols>
  <sheetData>
    <row r="1" spans="1:39" ht="25.5" customHeight="1">
      <c r="A1" s="237" t="s">
        <v>332</v>
      </c>
      <c r="B1" s="590" t="s">
        <v>333</v>
      </c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  <c r="N1" s="590"/>
      <c r="O1" s="590"/>
      <c r="P1" s="590"/>
      <c r="Q1" s="590"/>
      <c r="R1" s="590"/>
      <c r="S1" s="590"/>
      <c r="T1" s="590"/>
      <c r="U1" s="590"/>
      <c r="V1" s="590"/>
      <c r="W1" s="590"/>
      <c r="X1" s="590"/>
      <c r="Y1" s="590"/>
      <c r="Z1" s="590"/>
      <c r="AA1" s="590"/>
      <c r="AB1" s="590"/>
      <c r="AC1" s="590"/>
      <c r="AD1" s="590"/>
      <c r="AE1" s="590"/>
      <c r="AF1" s="590"/>
      <c r="AG1" s="590"/>
      <c r="AH1" s="590"/>
      <c r="AI1" s="590"/>
      <c r="AJ1" s="590"/>
      <c r="AK1" s="590"/>
      <c r="AL1" s="590"/>
      <c r="AM1" s="590"/>
    </row>
    <row r="2" spans="1:39" ht="18.75">
      <c r="A2" s="555" t="s">
        <v>35</v>
      </c>
      <c r="B2" s="556"/>
      <c r="C2" s="556"/>
      <c r="D2" s="556"/>
      <c r="E2" s="556"/>
      <c r="F2" s="556"/>
      <c r="G2" s="556"/>
      <c r="H2" s="557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</row>
    <row r="3" spans="1:39" ht="15.75" customHeight="1">
      <c r="A3" s="84"/>
      <c r="C3" s="561" t="s">
        <v>334</v>
      </c>
      <c r="D3" s="562"/>
      <c r="E3" s="561"/>
      <c r="F3" s="562"/>
      <c r="G3" s="568" t="s">
        <v>39</v>
      </c>
      <c r="H3" s="569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51" t="s">
        <v>20</v>
      </c>
      <c r="AC3" s="552"/>
      <c r="AD3" s="552"/>
      <c r="AE3" s="552"/>
      <c r="AF3" s="552"/>
      <c r="AG3" s="552"/>
      <c r="AH3" s="552"/>
      <c r="AI3" s="552"/>
      <c r="AJ3" s="552"/>
      <c r="AK3" s="552"/>
      <c r="AL3" s="553"/>
      <c r="AM3" s="117"/>
    </row>
    <row r="4" spans="1:39" ht="16.5" customHeight="1">
      <c r="A4" s="85" t="s">
        <v>43</v>
      </c>
      <c r="B4" s="5" t="s">
        <v>44</v>
      </c>
      <c r="C4" s="83">
        <f>G4</f>
        <v>7000</v>
      </c>
      <c r="E4" s="83">
        <f>G4*0.25</f>
        <v>1750</v>
      </c>
      <c r="G4" s="153">
        <f>Y10+Y11</f>
        <v>7000</v>
      </c>
      <c r="H4" s="86"/>
      <c r="J4" s="178" t="s">
        <v>45</v>
      </c>
      <c r="K4" s="188" t="s">
        <v>335</v>
      </c>
      <c r="L4" s="32"/>
      <c r="M4" s="31"/>
      <c r="N4" s="170"/>
      <c r="O4" s="32"/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v>1</v>
      </c>
      <c r="Z4" s="116"/>
      <c r="AA4" s="30" t="s">
        <v>45</v>
      </c>
      <c r="AB4" s="31" t="s">
        <v>335</v>
      </c>
      <c r="AC4" s="32"/>
      <c r="AD4" s="31"/>
      <c r="AE4" s="170"/>
      <c r="AF4" s="32"/>
      <c r="AG4" s="32"/>
      <c r="AH4" s="32"/>
      <c r="AI4" s="32"/>
      <c r="AJ4" s="32"/>
      <c r="AK4" s="32"/>
      <c r="AL4" s="32"/>
      <c r="AM4" s="529" t="s">
        <v>51</v>
      </c>
    </row>
    <row r="5" spans="1:39">
      <c r="A5" s="85" t="s">
        <v>53</v>
      </c>
      <c r="B5" s="5" t="s">
        <v>54</v>
      </c>
      <c r="C5" s="192">
        <f>C6+C7+C8+C9+C10+C11+C13+C14+C16+C15+C12</f>
        <v>8950.9126917199992</v>
      </c>
      <c r="D5" s="5"/>
      <c r="E5" s="192">
        <f>E6+E7+E8+E9+E10+E11+E13+E14+E16+E15+E12</f>
        <v>0</v>
      </c>
      <c r="F5" s="5"/>
      <c r="G5" s="154">
        <f>G6+G7+G8+G9+G10+G11+G13+G14+G16+G15+G12+G17</f>
        <v>8950.9126917199992</v>
      </c>
      <c r="H5" s="87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N7+V8</f>
        <v>0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88" t="s">
        <v>56</v>
      </c>
      <c r="B6" s="81" t="s">
        <v>57</v>
      </c>
      <c r="C6" s="135">
        <f>135.1+4.4+28.45+27.45+64.29+49.72+27.9+55.8+37.98+27.55+122.6</f>
        <v>581.24</v>
      </c>
      <c r="D6" s="13">
        <f>C6+C7+C8</f>
        <v>2361.4</v>
      </c>
      <c r="E6" s="159"/>
      <c r="F6" s="89">
        <f>E6+E7+E8</f>
        <v>0</v>
      </c>
      <c r="G6" s="200">
        <f>C6+E6</f>
        <v>581.24</v>
      </c>
      <c r="H6" s="90">
        <f>G6+G7+G8</f>
        <v>2361.4</v>
      </c>
      <c r="J6" s="180"/>
      <c r="K6" s="40">
        <v>1</v>
      </c>
      <c r="L6" s="40"/>
      <c r="M6" s="40"/>
      <c r="N6" s="40"/>
      <c r="O6" s="40"/>
      <c r="P6" s="40"/>
      <c r="Q6" s="40"/>
      <c r="R6" s="40"/>
      <c r="S6" s="40"/>
      <c r="T6" s="40"/>
      <c r="U6" s="41"/>
      <c r="V6" s="40">
        <v>1</v>
      </c>
      <c r="X6" s="531" t="s">
        <v>58</v>
      </c>
      <c r="Y6" s="532"/>
      <c r="AA6" s="42"/>
      <c r="AB6" s="43">
        <f>AM6/4</f>
        <v>0</v>
      </c>
      <c r="AC6" s="43"/>
      <c r="AD6" s="43"/>
      <c r="AE6" s="43"/>
      <c r="AF6" s="43"/>
      <c r="AG6" s="43"/>
      <c r="AH6" s="44"/>
      <c r="AI6" s="44"/>
      <c r="AJ6" s="44"/>
      <c r="AK6" s="44"/>
      <c r="AL6" s="44"/>
      <c r="AM6" s="121"/>
    </row>
    <row r="7" spans="1:39">
      <c r="A7" s="91" t="s">
        <v>59</v>
      </c>
      <c r="B7" s="92" t="s">
        <v>60</v>
      </c>
      <c r="C7" s="134"/>
      <c r="D7" s="13"/>
      <c r="E7" s="142"/>
      <c r="F7" s="89"/>
      <c r="G7" s="200">
        <f t="shared" ref="G7:G16" si="0">C7+E7</f>
        <v>0</v>
      </c>
      <c r="H7" s="90"/>
      <c r="J7" s="181"/>
      <c r="K7" s="48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f>N7</f>
        <v>0</v>
      </c>
      <c r="X7" s="49" t="s">
        <v>52</v>
      </c>
      <c r="Y7" s="50">
        <f>AM6</f>
        <v>0</v>
      </c>
      <c r="AA7" s="51"/>
      <c r="AB7" s="52">
        <f>49+26+51</f>
        <v>126</v>
      </c>
      <c r="AC7" s="53"/>
      <c r="AD7" s="53"/>
      <c r="AE7" s="53"/>
      <c r="AF7" s="53"/>
      <c r="AG7" s="53"/>
      <c r="AH7" s="54"/>
      <c r="AI7" s="54"/>
      <c r="AJ7" s="54"/>
      <c r="AK7" s="54"/>
      <c r="AL7" s="54"/>
      <c r="AM7" s="164">
        <f t="shared" ref="AM7" si="1">AB7+AC7+AD7+AE7+AF7+AG7+AL7+AH7+AI7+AJ7+AK7</f>
        <v>126</v>
      </c>
    </row>
    <row r="8" spans="1:39">
      <c r="A8" s="93" t="s">
        <v>61</v>
      </c>
      <c r="B8" s="82" t="s">
        <v>62</v>
      </c>
      <c r="C8" s="20">
        <f>49+13.8*2+47.54+1597.95+34.27+23.8</f>
        <v>1780.16</v>
      </c>
      <c r="D8" s="14"/>
      <c r="E8" s="215"/>
      <c r="F8" s="94"/>
      <c r="G8" s="200">
        <f t="shared" si="0"/>
        <v>1780.16</v>
      </c>
      <c r="H8" s="95"/>
      <c r="J8" s="182"/>
      <c r="K8" s="56"/>
      <c r="L8" s="55"/>
      <c r="M8" s="55"/>
      <c r="N8" s="56"/>
      <c r="O8" s="57"/>
      <c r="P8" s="56"/>
      <c r="Q8" s="58"/>
      <c r="R8" s="58"/>
      <c r="S8" s="58"/>
      <c r="T8" s="58"/>
      <c r="U8" s="58"/>
      <c r="V8" s="56">
        <f>SUM(K8:U8)</f>
        <v>0</v>
      </c>
      <c r="X8" s="59" t="s">
        <v>55</v>
      </c>
      <c r="Y8" s="372">
        <f>AM7</f>
        <v>126</v>
      </c>
      <c r="AM8" s="105"/>
    </row>
    <row r="9" spans="1:39">
      <c r="A9" s="88" t="s">
        <v>63</v>
      </c>
      <c r="B9" s="81" t="s">
        <v>64</v>
      </c>
      <c r="C9" s="367">
        <f>((49*13.5+26*15+51*14+3000/20*6)-C13)*1.42</f>
        <v>2152.0099999999998</v>
      </c>
      <c r="D9" s="151">
        <f>C9+C10+C11+C13+C12</f>
        <v>4512.4426917199999</v>
      </c>
      <c r="E9" s="160"/>
      <c r="F9" s="137">
        <f>E9+E10+E11+E13+E12</f>
        <v>0</v>
      </c>
      <c r="G9" s="24">
        <f t="shared" si="0"/>
        <v>2152.0099999999998</v>
      </c>
      <c r="H9" s="96">
        <f>G9+G10+G11+G13+G12</f>
        <v>4512.4426917199999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507.65915899999993</v>
      </c>
      <c r="D10" s="13"/>
      <c r="E10" s="156">
        <f>E9*0.2359</f>
        <v>0</v>
      </c>
      <c r="F10" s="89"/>
      <c r="G10" s="25">
        <f t="shared" si="0"/>
        <v>507.65915899999993</v>
      </c>
      <c r="H10" s="95"/>
      <c r="J10" s="84"/>
      <c r="X10" s="10" t="s">
        <v>67</v>
      </c>
      <c r="Y10" s="232">
        <v>7000</v>
      </c>
      <c r="AM10" s="105"/>
    </row>
    <row r="11" spans="1:39">
      <c r="A11" s="91" t="s">
        <v>68</v>
      </c>
      <c r="B11" s="92" t="s">
        <v>69</v>
      </c>
      <c r="C11" s="134">
        <f>(C9+C10)*0.08</f>
        <v>212.77353271999996</v>
      </c>
      <c r="D11" s="13"/>
      <c r="E11" s="156">
        <f>(E9+E10)*0.08</f>
        <v>0</v>
      </c>
      <c r="F11" s="89"/>
      <c r="G11" s="25">
        <f t="shared" si="0"/>
        <v>212.77353271999996</v>
      </c>
      <c r="H11" s="95"/>
      <c r="J11" s="84"/>
      <c r="X11" s="62" t="s">
        <v>70</v>
      </c>
      <c r="Y11" s="201"/>
      <c r="AM11" s="105"/>
    </row>
    <row r="12" spans="1:39">
      <c r="A12" s="97" t="s">
        <v>71</v>
      </c>
      <c r="B12" s="98" t="s">
        <v>72</v>
      </c>
      <c r="C12" s="135">
        <f>(C4)*0.07</f>
        <v>490.00000000000006</v>
      </c>
      <c r="D12" s="142"/>
      <c r="E12" s="159">
        <f>(E13+E11+E10+E9)*0.07</f>
        <v>0</v>
      </c>
      <c r="F12" s="131"/>
      <c r="G12" s="25">
        <f t="shared" si="0"/>
        <v>490.00000000000006</v>
      </c>
      <c r="H12" s="95"/>
      <c r="J12" s="84"/>
      <c r="AM12" s="105"/>
    </row>
    <row r="13" spans="1:39">
      <c r="A13" s="91" t="s">
        <v>73</v>
      </c>
      <c r="B13" s="92" t="s">
        <v>74</v>
      </c>
      <c r="C13" s="139">
        <f>23*50</f>
        <v>1150</v>
      </c>
      <c r="D13" s="143"/>
      <c r="E13" s="162"/>
      <c r="F13" s="133"/>
      <c r="G13" s="26">
        <f t="shared" si="0"/>
        <v>1150</v>
      </c>
      <c r="H13" s="99"/>
      <c r="J13" s="84"/>
      <c r="X13" s="64" t="s">
        <v>75</v>
      </c>
      <c r="Y13" s="65">
        <f>53.3+85.65</f>
        <v>138.94999999999999</v>
      </c>
      <c r="AM13" s="105"/>
    </row>
    <row r="14" spans="1:39">
      <c r="A14" s="100" t="s">
        <v>76</v>
      </c>
      <c r="B14" s="81" t="s">
        <v>77</v>
      </c>
      <c r="C14" s="22">
        <f>707.18+500+143+165.09</f>
        <v>1515.2699999999998</v>
      </c>
      <c r="D14" s="13">
        <f>C14+C16+C15</f>
        <v>2077.0699999999997</v>
      </c>
      <c r="E14" s="159"/>
      <c r="F14" s="140">
        <f>E14+E16+E15</f>
        <v>0</v>
      </c>
      <c r="G14" s="200">
        <f t="shared" si="0"/>
        <v>1515.2699999999998</v>
      </c>
      <c r="H14" s="95">
        <f>G14+G16+G15+G17</f>
        <v>2077.0699999999997</v>
      </c>
      <c r="J14" s="84"/>
      <c r="X14" s="66" t="s">
        <v>78</v>
      </c>
      <c r="Y14" s="66" t="s">
        <v>79</v>
      </c>
      <c r="AM14" s="105"/>
    </row>
    <row r="15" spans="1:39">
      <c r="A15" s="101" t="s">
        <v>80</v>
      </c>
      <c r="B15" s="92" t="s">
        <v>81</v>
      </c>
      <c r="C15" s="135">
        <f>23.4+640.8/3</f>
        <v>237</v>
      </c>
      <c r="D15" s="13"/>
      <c r="E15" s="142"/>
      <c r="F15" s="89"/>
      <c r="G15" s="200">
        <f t="shared" si="0"/>
        <v>237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34">
        <f>125+117.84/2+115.52/2+83.12</f>
        <v>324.8</v>
      </c>
      <c r="D16" s="13"/>
      <c r="E16" s="156"/>
      <c r="F16" s="89"/>
      <c r="G16" s="200">
        <f>C16+E16</f>
        <v>324.8</v>
      </c>
      <c r="H16" s="95"/>
      <c r="J16" s="84"/>
      <c r="X16" s="67" t="s">
        <v>85</v>
      </c>
      <c r="Y16" s="68">
        <v>12</v>
      </c>
      <c r="AM16" s="105"/>
    </row>
    <row r="17" spans="1:39">
      <c r="A17" s="91"/>
      <c r="B17" s="92"/>
      <c r="C17" s="134"/>
      <c r="D17" s="89"/>
      <c r="E17" s="134"/>
      <c r="F17" s="89"/>
      <c r="G17" s="200"/>
      <c r="H17" s="95"/>
      <c r="J17" s="84"/>
      <c r="X17" s="202"/>
      <c r="Y17" s="203"/>
      <c r="AM17" s="105"/>
    </row>
    <row r="18" spans="1:39">
      <c r="A18" s="85" t="s">
        <v>86</v>
      </c>
      <c r="B18" s="5" t="s">
        <v>87</v>
      </c>
      <c r="C18" s="185">
        <f>C4-C5</f>
        <v>-1950.9126917199992</v>
      </c>
      <c r="D18" s="129">
        <f>C18/C4</f>
        <v>-0.27870181310285702</v>
      </c>
      <c r="E18" s="185">
        <f>E4-E5</f>
        <v>1750</v>
      </c>
      <c r="F18" s="130">
        <f>E18/E4</f>
        <v>1</v>
      </c>
      <c r="G18" s="16">
        <f>G4-G5</f>
        <v>-1950.9126917199992</v>
      </c>
      <c r="H18" s="102">
        <f>G18/G4</f>
        <v>-0.27870181310285702</v>
      </c>
      <c r="J18" s="84"/>
      <c r="AM18" s="105"/>
    </row>
    <row r="19" spans="1:39" ht="20.25" customHeight="1">
      <c r="A19" s="103"/>
      <c r="B19" s="104"/>
      <c r="C19" s="104"/>
      <c r="D19" s="104"/>
      <c r="E19" s="104"/>
      <c r="F19" s="104"/>
      <c r="H19" s="105"/>
      <c r="J19" s="115" t="s">
        <v>40</v>
      </c>
      <c r="K19" s="533" t="s">
        <v>88</v>
      </c>
      <c r="L19" s="534"/>
      <c r="M19" s="534"/>
      <c r="N19" s="534"/>
      <c r="O19" s="534"/>
      <c r="P19" s="534"/>
      <c r="Q19" s="534"/>
      <c r="R19" s="534"/>
      <c r="S19" s="534"/>
      <c r="T19" s="534"/>
      <c r="U19" s="535"/>
      <c r="V19" s="29"/>
      <c r="X19" s="520" t="s">
        <v>89</v>
      </c>
      <c r="Y19" s="520"/>
      <c r="AA19" s="27" t="s">
        <v>40</v>
      </c>
      <c r="AB19" s="551" t="s">
        <v>90</v>
      </c>
      <c r="AC19" s="552"/>
      <c r="AD19" s="552"/>
      <c r="AE19" s="552"/>
      <c r="AF19" s="552"/>
      <c r="AG19" s="552"/>
      <c r="AH19" s="552"/>
      <c r="AI19" s="552"/>
      <c r="AJ19" s="552"/>
      <c r="AK19" s="552"/>
      <c r="AL19" s="553"/>
      <c r="AM19" s="117"/>
    </row>
    <row r="20" spans="1:39" ht="24" customHeight="1">
      <c r="A20" s="106" t="s">
        <v>91</v>
      </c>
      <c r="B20" s="4" t="s">
        <v>92</v>
      </c>
      <c r="C20" s="107"/>
      <c r="D20" s="107"/>
      <c r="E20" s="107"/>
      <c r="F20" s="107"/>
      <c r="H20" s="105"/>
      <c r="J20" s="118" t="s">
        <v>45</v>
      </c>
      <c r="K20" s="31" t="s">
        <v>336</v>
      </c>
      <c r="L20" s="32" t="s">
        <v>337</v>
      </c>
      <c r="M20" s="31" t="s">
        <v>323</v>
      </c>
      <c r="N20" s="170">
        <f>N4</f>
        <v>0</v>
      </c>
      <c r="O20" s="32"/>
      <c r="P20" s="32"/>
      <c r="Q20" s="31"/>
      <c r="R20" s="31"/>
      <c r="S20" s="31"/>
      <c r="T20" s="31"/>
      <c r="U20" s="31"/>
      <c r="V20" s="516" t="s">
        <v>51</v>
      </c>
      <c r="X20" s="69" t="s">
        <v>52</v>
      </c>
      <c r="Y20" s="50"/>
      <c r="AA20" s="30" t="s">
        <v>45</v>
      </c>
      <c r="AB20" s="31" t="str">
        <f>AB4</f>
        <v>08/07-12/07</v>
      </c>
      <c r="AC20" s="32"/>
      <c r="AD20" s="31"/>
      <c r="AE20" s="170"/>
      <c r="AF20" s="32"/>
      <c r="AG20" s="32"/>
      <c r="AH20" s="31"/>
      <c r="AI20" s="31"/>
      <c r="AJ20" s="31"/>
      <c r="AK20" s="31"/>
      <c r="AL20" s="31"/>
      <c r="AM20" s="518" t="s">
        <v>51</v>
      </c>
    </row>
    <row r="21" spans="1:39">
      <c r="A21" s="108" t="s">
        <v>93</v>
      </c>
      <c r="B21" s="3">
        <f>H6/G5*100</f>
        <v>26.381667225783605</v>
      </c>
      <c r="C21" s="109"/>
      <c r="D21" s="109"/>
      <c r="E21" s="109"/>
      <c r="F21" s="109"/>
      <c r="H21" s="105"/>
      <c r="J21" s="118"/>
      <c r="K21" s="70">
        <v>1</v>
      </c>
      <c r="L21" s="70">
        <v>2</v>
      </c>
      <c r="M21" s="70">
        <v>3</v>
      </c>
      <c r="N21" s="70">
        <v>4</v>
      </c>
      <c r="O21" s="70">
        <v>5</v>
      </c>
      <c r="P21" s="70">
        <v>6</v>
      </c>
      <c r="Q21" s="70"/>
      <c r="R21" s="70"/>
      <c r="S21" s="70"/>
      <c r="T21" s="70"/>
      <c r="U21" s="70"/>
      <c r="V21" s="517"/>
      <c r="X21" s="71" t="s">
        <v>55</v>
      </c>
      <c r="Y21" s="77">
        <f>G6+G7</f>
        <v>581.24</v>
      </c>
      <c r="AA21" s="30"/>
      <c r="AB21" s="70">
        <v>1</v>
      </c>
      <c r="AC21" s="70">
        <v>2</v>
      </c>
      <c r="AD21" s="70">
        <v>3</v>
      </c>
      <c r="AE21" s="70">
        <v>4</v>
      </c>
      <c r="AF21" s="70">
        <v>5</v>
      </c>
      <c r="AG21" s="70">
        <v>6</v>
      </c>
      <c r="AH21" s="70">
        <v>7</v>
      </c>
      <c r="AI21" s="70">
        <v>8</v>
      </c>
      <c r="AJ21" s="70">
        <v>9</v>
      </c>
      <c r="AK21" s="70">
        <v>10</v>
      </c>
      <c r="AL21" s="70">
        <v>11</v>
      </c>
      <c r="AM21" s="519"/>
    </row>
    <row r="22" spans="1:39">
      <c r="A22" s="110" t="s">
        <v>94</v>
      </c>
      <c r="B22" s="3">
        <f>H9/G5*100</f>
        <v>50.41321312288315</v>
      </c>
      <c r="C22" s="109"/>
      <c r="D22" s="109"/>
      <c r="E22" s="109"/>
      <c r="F22" s="109"/>
      <c r="H22" s="105"/>
      <c r="J22" s="125"/>
      <c r="K22" s="73">
        <f>V22/4</f>
        <v>0</v>
      </c>
      <c r="L22" s="73">
        <f>K22</f>
        <v>0</v>
      </c>
      <c r="M22" s="73">
        <f>K22</f>
        <v>0</v>
      </c>
      <c r="N22" s="73">
        <f>V22/4</f>
        <v>0</v>
      </c>
      <c r="O22" s="73"/>
      <c r="P22" s="73"/>
      <c r="Q22" s="73"/>
      <c r="R22" s="73"/>
      <c r="S22" s="73"/>
      <c r="T22" s="73"/>
      <c r="U22" s="73"/>
      <c r="V22" s="74">
        <f>Y20</f>
        <v>0</v>
      </c>
      <c r="X22" s="520" t="s">
        <v>90</v>
      </c>
      <c r="Y22" s="520"/>
      <c r="AA22" s="72"/>
      <c r="AB22" s="73">
        <f>AM22/4</f>
        <v>0</v>
      </c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126">
        <f>Y23</f>
        <v>0</v>
      </c>
    </row>
    <row r="23" spans="1:39">
      <c r="A23" s="111" t="s">
        <v>95</v>
      </c>
      <c r="B23" s="2">
        <f>H14/G5*100</f>
        <v>23.205119651333252</v>
      </c>
      <c r="C23" s="109"/>
      <c r="D23" s="109"/>
      <c r="E23" s="109"/>
      <c r="F23" s="109"/>
      <c r="H23" s="105"/>
      <c r="J23" s="125"/>
      <c r="K23" s="75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163">
        <f t="shared" ref="V23" si="2">K23+L23+M23+N23+O23+P23+U23+Q23+R23+S23+T23</f>
        <v>0</v>
      </c>
      <c r="X23" s="69" t="s">
        <v>52</v>
      </c>
      <c r="Y23" s="50"/>
      <c r="AA23" s="72"/>
      <c r="AB23" s="75">
        <f>G14+G15+165.09+640.8/3</f>
        <v>2130.9599999999996</v>
      </c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166">
        <f>AE23+AD23+AC23+AB23</f>
        <v>2130.9599999999996</v>
      </c>
    </row>
    <row r="24" spans="1:39">
      <c r="A24" s="84"/>
      <c r="H24" s="105"/>
      <c r="J24" s="84"/>
      <c r="X24" s="71" t="s">
        <v>55</v>
      </c>
      <c r="Y24" s="77">
        <f>AM23</f>
        <v>2130.9599999999996</v>
      </c>
      <c r="AM24" s="105"/>
    </row>
    <row r="25" spans="1:39">
      <c r="A25" s="84"/>
      <c r="H25" s="105"/>
      <c r="J25" s="84"/>
      <c r="V25" s="128"/>
      <c r="AM25" s="105"/>
    </row>
    <row r="26" spans="1:39" ht="26.25" customHeight="1">
      <c r="A26" s="84"/>
      <c r="H26" s="105"/>
      <c r="J26" s="84"/>
      <c r="X26" s="10" t="s">
        <v>96</v>
      </c>
      <c r="Y26" s="145"/>
      <c r="AM26" s="105"/>
    </row>
    <row r="27" spans="1:39" ht="27.75">
      <c r="A27" s="84"/>
      <c r="H27" s="105"/>
      <c r="J27" s="84"/>
      <c r="X27" s="10" t="s">
        <v>97</v>
      </c>
      <c r="Y27" s="145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AM30" s="105"/>
    </row>
    <row r="31" spans="1:39">
      <c r="A31" s="84"/>
      <c r="H31" s="105"/>
      <c r="J31" s="84"/>
      <c r="X31" s="521" t="s">
        <v>98</v>
      </c>
      <c r="Y31" s="522"/>
      <c r="AM31" s="105"/>
    </row>
    <row r="32" spans="1:39">
      <c r="A32" s="84"/>
      <c r="H32" s="105"/>
      <c r="J32" s="84"/>
      <c r="X32" s="523">
        <v>45142</v>
      </c>
      <c r="Y32" s="524"/>
      <c r="AM32" s="105"/>
    </row>
    <row r="33" spans="1:39">
      <c r="A33" s="112"/>
      <c r="B33" s="113"/>
      <c r="C33" s="113"/>
      <c r="D33" s="113"/>
      <c r="E33" s="113"/>
      <c r="F33" s="113"/>
      <c r="G33" s="113"/>
      <c r="H33" s="114"/>
      <c r="J33" s="112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525"/>
      <c r="Y33" s="526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4"/>
    </row>
    <row r="38" spans="1:39">
      <c r="I38" s="1"/>
    </row>
    <row r="43" spans="1:39">
      <c r="A43" t="s">
        <v>338</v>
      </c>
      <c r="B43" s="1">
        <f ca="1">SUM(B43:B47)</f>
        <v>1498.04396</v>
      </c>
      <c r="C43">
        <v>5988.55</v>
      </c>
    </row>
    <row r="44" spans="1:39">
      <c r="A44" t="s">
        <v>339</v>
      </c>
      <c r="B44">
        <f>-13.58+52.41+15+22.28</f>
        <v>76.11</v>
      </c>
    </row>
    <row r="45" spans="1:39">
      <c r="A45" t="s">
        <v>340</v>
      </c>
      <c r="B45" s="373">
        <f>((3000/20*1+10*15)-B46)*1.42*1.2359</f>
        <v>-315.89603999999997</v>
      </c>
    </row>
    <row r="46" spans="1:39">
      <c r="A46" t="s">
        <v>341</v>
      </c>
      <c r="B46" s="363">
        <f>60*8</f>
        <v>480</v>
      </c>
    </row>
    <row r="47" spans="1:39">
      <c r="A47" t="s">
        <v>342</v>
      </c>
      <c r="B47">
        <v>1342.22</v>
      </c>
    </row>
    <row r="48" spans="1:39">
      <c r="A48" t="s">
        <v>343</v>
      </c>
      <c r="B48">
        <f>640.8/3+16.44+111.63</f>
        <v>341.66999999999996</v>
      </c>
    </row>
  </sheetData>
  <mergeCells count="20">
    <mergeCell ref="B1:AM1"/>
    <mergeCell ref="A2:H2"/>
    <mergeCell ref="J2:AM2"/>
    <mergeCell ref="C3:D3"/>
    <mergeCell ref="E3:F3"/>
    <mergeCell ref="G3:H3"/>
    <mergeCell ref="K3:U3"/>
    <mergeCell ref="X3:Y3"/>
    <mergeCell ref="AB3:AL3"/>
    <mergeCell ref="V4:V5"/>
    <mergeCell ref="AM4:AM5"/>
    <mergeCell ref="X6:Y6"/>
    <mergeCell ref="K19:U19"/>
    <mergeCell ref="X19:Y19"/>
    <mergeCell ref="AB19:AL19"/>
    <mergeCell ref="V20:V21"/>
    <mergeCell ref="AM20:AM21"/>
    <mergeCell ref="X22:Y22"/>
    <mergeCell ref="X31:Y31"/>
    <mergeCell ref="X32:Y33"/>
  </mergeCells>
  <conditionalFormatting sqref="Y8">
    <cfRule type="cellIs" dxfId="17" priority="3" operator="greaterThan">
      <formula>$Y$7</formula>
    </cfRule>
  </conditionalFormatting>
  <conditionalFormatting sqref="Y21">
    <cfRule type="cellIs" dxfId="16" priority="2" operator="greaterThan">
      <formula>$Y$20</formula>
    </cfRule>
  </conditionalFormatting>
  <conditionalFormatting sqref="Y24">
    <cfRule type="cellIs" dxfId="15" priority="1" operator="greaterThan">
      <formula>$Y$23</formula>
    </cfRule>
  </conditionalFormatting>
  <pageMargins left="0.7" right="0.7" top="0.75" bottom="0.75" header="0.3" footer="0.3"/>
  <pageSetup paperSize="9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5980-0697-4306-B505-E2C25DD2E384}">
  <sheetPr>
    <pageSetUpPr fitToPage="1"/>
  </sheetPr>
  <dimension ref="A1:AM38"/>
  <sheetViews>
    <sheetView workbookViewId="0">
      <selection activeCell="AP14" sqref="AP14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0.7109375" hidden="1" customWidth="1" outlineLevel="1"/>
    <col min="6" max="6" width="10.140625" hidden="1" customWidth="1" outlineLevel="1"/>
    <col min="7" max="7" width="10.7109375" customWidth="1" collapsed="1"/>
    <col min="8" max="8" width="10.7109375" customWidth="1"/>
    <col min="9" max="9" width="3.28515625" customWidth="1"/>
    <col min="10" max="10" width="0.5703125" hidden="1" customWidth="1" outlineLevel="1"/>
    <col min="11" max="11" width="10.7109375" hidden="1" customWidth="1" outlineLevel="1" collapsed="1"/>
    <col min="12" max="15" width="10.7109375" hidden="1" customWidth="1" outlineLevel="1"/>
    <col min="16" max="22" width="9.140625" hidden="1" customWidth="1" outlineLevel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customWidth="1"/>
    <col min="32" max="38" width="12.7109375" hidden="1" customWidth="1" outlineLevel="1"/>
    <col min="39" max="39" width="12.7109375" customWidth="1" collapsed="1"/>
    <col min="40" max="40" width="12.7109375" customWidth="1"/>
  </cols>
  <sheetData>
    <row r="1" spans="1:39" ht="25.5" customHeight="1">
      <c r="A1" s="237" t="s">
        <v>344</v>
      </c>
      <c r="B1" s="331"/>
      <c r="C1" s="591" t="s">
        <v>345</v>
      </c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</row>
    <row r="2" spans="1:39" ht="18.75">
      <c r="A2" s="537" t="s">
        <v>35</v>
      </c>
      <c r="B2" s="574"/>
      <c r="C2" s="574"/>
      <c r="D2" s="574"/>
      <c r="E2" s="574"/>
      <c r="F2" s="574"/>
      <c r="G2" s="574"/>
      <c r="H2" s="575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</row>
    <row r="3" spans="1:39" ht="15.75" customHeight="1">
      <c r="A3" s="84"/>
      <c r="C3" s="543" t="s">
        <v>334</v>
      </c>
      <c r="D3" s="544"/>
      <c r="E3" s="543"/>
      <c r="F3" s="544"/>
      <c r="G3" s="545" t="s">
        <v>39</v>
      </c>
      <c r="H3" s="546"/>
      <c r="J3" s="177" t="s">
        <v>40</v>
      </c>
      <c r="K3" s="547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39" ht="16.5" customHeight="1">
      <c r="A4" s="85" t="s">
        <v>43</v>
      </c>
      <c r="B4" s="5" t="s">
        <v>44</v>
      </c>
      <c r="C4" s="83">
        <f>Y10</f>
        <v>60000</v>
      </c>
      <c r="E4" s="83"/>
      <c r="F4" s="11"/>
      <c r="G4" s="364">
        <f>Y10+Y11</f>
        <v>65603.509999999995</v>
      </c>
      <c r="H4" s="86">
        <f>D4+F4</f>
        <v>0</v>
      </c>
      <c r="J4" s="178" t="s">
        <v>45</v>
      </c>
      <c r="K4" s="188" t="s">
        <v>346</v>
      </c>
      <c r="L4" s="32" t="s">
        <v>347</v>
      </c>
      <c r="M4" s="31" t="s">
        <v>348</v>
      </c>
      <c r="N4" s="170" t="s">
        <v>330</v>
      </c>
      <c r="O4" s="32"/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N6</f>
        <v>1</v>
      </c>
      <c r="Z4" s="116"/>
      <c r="AA4" s="30" t="s">
        <v>45</v>
      </c>
      <c r="AB4" s="188" t="s">
        <v>346</v>
      </c>
      <c r="AC4" s="32" t="s">
        <v>347</v>
      </c>
      <c r="AD4" s="31" t="s">
        <v>348</v>
      </c>
      <c r="AE4" s="170" t="s">
        <v>330</v>
      </c>
      <c r="AF4" s="32"/>
      <c r="AG4" s="32"/>
      <c r="AH4" s="32"/>
      <c r="AI4" s="32"/>
      <c r="AJ4" s="32"/>
      <c r="AK4" s="32"/>
      <c r="AL4" s="32"/>
      <c r="AM4" s="529" t="s">
        <v>51</v>
      </c>
    </row>
    <row r="5" spans="1:39">
      <c r="A5" s="85" t="s">
        <v>53</v>
      </c>
      <c r="B5" s="5" t="s">
        <v>54</v>
      </c>
      <c r="C5" s="192">
        <f>C6+C7+C8+C9+C10+C11+C13+C14+C16+C15+C12</f>
        <v>44727.509777360006</v>
      </c>
      <c r="D5" s="5"/>
      <c r="E5" s="192">
        <f>E6+E7+E8+E9+E10+E11+E13+E14+E16+E15+E12</f>
        <v>0</v>
      </c>
      <c r="F5" s="12"/>
      <c r="G5" s="8">
        <f>G6+G7+G8+G9+G10+G11+G13+G14+G16+G15+G12+G17</f>
        <v>44727.509777360006</v>
      </c>
      <c r="H5" s="87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V7+V8</f>
        <v>1.0933918333333335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88" t="s">
        <v>56</v>
      </c>
      <c r="B6" s="81" t="s">
        <v>57</v>
      </c>
      <c r="C6" s="134">
        <f>1058.07+359.55+206.92+50.15+142.14+65.85+16.09+90.05+52.48+167.05+235.55+88.83+216.26+279.4+5.95+48+127.45+26.75+34.4+141.4+32.21+168.83+74.97+79.99+169.99+23.01+340.79+1190.85+11.85+997.98+30.76+23.97+48.28+11.85</f>
        <v>6617.67</v>
      </c>
      <c r="D6" s="13">
        <f>C6+C7+C8</f>
        <v>20985.670000000002</v>
      </c>
      <c r="E6" s="142"/>
      <c r="F6" s="13">
        <f>E6+E7+E8</f>
        <v>0</v>
      </c>
      <c r="G6" s="9">
        <f>C6+E6</f>
        <v>6617.67</v>
      </c>
      <c r="H6" s="90">
        <f>G6+G7+G8</f>
        <v>20985.670000000002</v>
      </c>
      <c r="J6" s="180"/>
      <c r="K6" s="40">
        <v>0.25</v>
      </c>
      <c r="L6" s="40">
        <v>0.5</v>
      </c>
      <c r="M6" s="40">
        <v>0.75</v>
      </c>
      <c r="N6" s="40">
        <v>1</v>
      </c>
      <c r="O6" s="40"/>
      <c r="P6" s="40"/>
      <c r="Q6" s="40"/>
      <c r="R6" s="40"/>
      <c r="S6" s="40"/>
      <c r="T6" s="40"/>
      <c r="U6" s="41"/>
      <c r="V6" s="40">
        <f>N6</f>
        <v>1</v>
      </c>
      <c r="X6" s="531" t="s">
        <v>58</v>
      </c>
      <c r="Y6" s="532"/>
      <c r="AA6" s="42"/>
      <c r="AB6" s="43">
        <f>AM6/4</f>
        <v>135.75</v>
      </c>
      <c r="AC6" s="43">
        <f>AB6</f>
        <v>135.75</v>
      </c>
      <c r="AD6" s="43">
        <f>AB6</f>
        <v>135.75</v>
      </c>
      <c r="AE6" s="43">
        <f>AM6/4</f>
        <v>135.75</v>
      </c>
      <c r="AF6" s="43"/>
      <c r="AG6" s="43"/>
      <c r="AH6" s="44"/>
      <c r="AI6" s="44"/>
      <c r="AJ6" s="44"/>
      <c r="AK6" s="44"/>
      <c r="AL6" s="44"/>
      <c r="AM6" s="121">
        <v>543</v>
      </c>
    </row>
    <row r="7" spans="1:39">
      <c r="A7" s="91" t="s">
        <v>59</v>
      </c>
      <c r="B7" s="92" t="s">
        <v>60</v>
      </c>
      <c r="C7" s="134">
        <f>120+475+175</f>
        <v>770</v>
      </c>
      <c r="D7" s="13"/>
      <c r="E7" s="13"/>
      <c r="F7" s="13"/>
      <c r="G7" s="9">
        <f t="shared" ref="G7:G16" si="0">C7+E7</f>
        <v>770</v>
      </c>
      <c r="H7" s="90"/>
      <c r="J7" s="181"/>
      <c r="K7" s="48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v>1</v>
      </c>
      <c r="X7" s="49" t="s">
        <v>52</v>
      </c>
      <c r="Y7" s="50">
        <f>AM6/Y13</f>
        <v>6.1224489795918373</v>
      </c>
      <c r="AA7" s="51"/>
      <c r="AB7" s="52">
        <f>50+50+50</f>
        <v>150</v>
      </c>
      <c r="AC7" s="53">
        <f>56+56+56</f>
        <v>168</v>
      </c>
      <c r="AD7" s="53">
        <f>47+47+56+56</f>
        <v>206</v>
      </c>
      <c r="AE7" s="53">
        <f>14*2</f>
        <v>28</v>
      </c>
      <c r="AF7" s="53"/>
      <c r="AG7" s="53"/>
      <c r="AH7" s="54"/>
      <c r="AI7" s="54"/>
      <c r="AJ7" s="54"/>
      <c r="AK7" s="54"/>
      <c r="AL7" s="54"/>
      <c r="AM7" s="164">
        <f t="shared" ref="AM7" si="1">AB7+AC7+AD7+AE7+AF7+AG7+AL7+AH7+AI7+AJ7+AK7</f>
        <v>552</v>
      </c>
    </row>
    <row r="8" spans="1:39">
      <c r="A8" s="93" t="s">
        <v>61</v>
      </c>
      <c r="B8" s="82" t="s">
        <v>62</v>
      </c>
      <c r="C8" s="20">
        <f>64.49+138.91+257.97+89.3+74.42+34.73+64.49+34.2+59.53+24.5+34.5+44.65+34.5+12493.25+54.53+34.5+59.53</f>
        <v>13598.000000000002</v>
      </c>
      <c r="D8" s="14"/>
      <c r="E8" s="14"/>
      <c r="F8" s="14"/>
      <c r="G8" s="9">
        <f t="shared" si="0"/>
        <v>13598.000000000002</v>
      </c>
      <c r="H8" s="95"/>
      <c r="J8" s="182"/>
      <c r="K8" s="55"/>
      <c r="L8" s="55"/>
      <c r="M8" s="55"/>
      <c r="N8" s="56"/>
      <c r="O8" s="57"/>
      <c r="P8" s="56"/>
      <c r="Q8" s="58"/>
      <c r="R8" s="58"/>
      <c r="S8" s="58"/>
      <c r="T8" s="58"/>
      <c r="U8" s="58"/>
      <c r="V8" s="56">
        <f>Y11/Y10</f>
        <v>9.3391833333333341E-2</v>
      </c>
      <c r="X8" s="59" t="s">
        <v>55</v>
      </c>
      <c r="Y8" s="218">
        <f>AM7/Y13</f>
        <v>6.2239260345021989</v>
      </c>
      <c r="AM8" s="105"/>
    </row>
    <row r="9" spans="1:39">
      <c r="A9" s="88" t="s">
        <v>63</v>
      </c>
      <c r="B9" s="81" t="s">
        <v>64</v>
      </c>
      <c r="C9" s="367">
        <f>((153*16+50*13.5+129*14+222*15)-C13)*1.42</f>
        <v>3037.3799999999997</v>
      </c>
      <c r="D9" s="151">
        <f>C9+C10+C11+C13+C12</f>
        <v>14374.20977736</v>
      </c>
      <c r="E9" s="141"/>
      <c r="F9" s="6">
        <f>E9+E10+E11+E13+E12</f>
        <v>0</v>
      </c>
      <c r="G9" s="24">
        <f t="shared" si="0"/>
        <v>3037.3799999999997</v>
      </c>
      <c r="H9" s="96">
        <f>G9+G10+G11+G13+G12</f>
        <v>14374.20977736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716.51794199999995</v>
      </c>
      <c r="D10" s="13"/>
      <c r="E10" s="198">
        <f>E9*0.2359</f>
        <v>0</v>
      </c>
      <c r="F10" s="89"/>
      <c r="G10" s="25">
        <f t="shared" si="0"/>
        <v>716.51794199999995</v>
      </c>
      <c r="H10" s="95"/>
      <c r="J10" s="84"/>
      <c r="X10" s="10" t="s">
        <v>67</v>
      </c>
      <c r="Y10" s="61">
        <v>60000</v>
      </c>
      <c r="AM10" s="105"/>
    </row>
    <row r="11" spans="1:39">
      <c r="A11" s="91" t="s">
        <v>68</v>
      </c>
      <c r="B11" s="92" t="s">
        <v>69</v>
      </c>
      <c r="C11" s="134">
        <f>(C9+C10)*0.08</f>
        <v>300.31183535999998</v>
      </c>
      <c r="D11" s="13"/>
      <c r="E11" s="198">
        <f>(E9+E10)*0.08</f>
        <v>0</v>
      </c>
      <c r="F11" s="89"/>
      <c r="G11" s="25">
        <f t="shared" si="0"/>
        <v>300.31183535999998</v>
      </c>
      <c r="H11" s="95"/>
      <c r="J11" s="84"/>
      <c r="X11" s="62" t="s">
        <v>70</v>
      </c>
      <c r="Y11" s="201">
        <v>5603.51</v>
      </c>
      <c r="AM11" s="105"/>
    </row>
    <row r="12" spans="1:39">
      <c r="A12" s="97" t="s">
        <v>71</v>
      </c>
      <c r="B12" s="98" t="s">
        <v>72</v>
      </c>
      <c r="C12" s="135">
        <f>(C4)*0.07</f>
        <v>4200</v>
      </c>
      <c r="D12" s="142"/>
      <c r="E12" s="159">
        <f>(E13+E11+E10+E9)*0.07</f>
        <v>0</v>
      </c>
      <c r="F12" s="131"/>
      <c r="G12" s="25">
        <f t="shared" si="0"/>
        <v>4200</v>
      </c>
      <c r="H12" s="95"/>
      <c r="J12" s="84"/>
      <c r="AM12" s="105"/>
    </row>
    <row r="13" spans="1:39">
      <c r="A13" s="91" t="s">
        <v>73</v>
      </c>
      <c r="B13" s="92" t="s">
        <v>74</v>
      </c>
      <c r="C13" s="139">
        <f>102*60</f>
        <v>6120</v>
      </c>
      <c r="D13" s="143"/>
      <c r="E13" s="143"/>
      <c r="F13" s="133"/>
      <c r="G13" s="26">
        <f t="shared" si="0"/>
        <v>6120</v>
      </c>
      <c r="H13" s="99"/>
      <c r="J13" s="84"/>
      <c r="X13" s="64" t="s">
        <v>75</v>
      </c>
      <c r="Y13" s="65">
        <v>88.69</v>
      </c>
      <c r="AM13" s="105"/>
    </row>
    <row r="14" spans="1:39">
      <c r="A14" s="100" t="s">
        <v>76</v>
      </c>
      <c r="B14" s="81" t="s">
        <v>77</v>
      </c>
      <c r="C14" s="134">
        <f>1768.53+1006.74+2688.13+284.8+216+114+135.45+150</f>
        <v>6363.65</v>
      </c>
      <c r="D14" s="13">
        <f>C14+C16+C15</f>
        <v>9367.6299999999992</v>
      </c>
      <c r="E14" s="142"/>
      <c r="F14" s="13">
        <f>E14+E16+E15</f>
        <v>0</v>
      </c>
      <c r="G14" s="9">
        <f t="shared" si="0"/>
        <v>6363.65</v>
      </c>
      <c r="H14" s="95">
        <f>G14+G16+G15+G17</f>
        <v>9367.6299999999992</v>
      </c>
      <c r="J14" s="84"/>
      <c r="X14" s="66" t="s">
        <v>78</v>
      </c>
      <c r="Y14" s="66" t="s">
        <v>79</v>
      </c>
      <c r="AM14" s="105"/>
    </row>
    <row r="15" spans="1:39">
      <c r="A15" s="101" t="s">
        <v>80</v>
      </c>
      <c r="B15" s="92" t="s">
        <v>81</v>
      </c>
      <c r="C15" s="134">
        <f>6.38+18.98+189+98.9+99+1022.94+6.34+6.34+10.42+8+200.98/2</f>
        <v>1566.79</v>
      </c>
      <c r="D15" s="13"/>
      <c r="E15" s="142"/>
      <c r="F15" s="13"/>
      <c r="G15" s="9">
        <f t="shared" si="0"/>
        <v>1566.79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34">
        <f>125+15.9+2.52+19.53+6.8+106.32+24.48+20.67+24.69+14.46+5.92+25.26+46.36+12+118.73+347.25+34.13+19.88+13.43+19.25+112.46+24.29+38+15+11.25+24.09+34.05+75.19+100.28</f>
        <v>1437.1899999999998</v>
      </c>
      <c r="D16" s="13"/>
      <c r="E16" s="13"/>
      <c r="F16" s="13"/>
      <c r="G16" s="9">
        <f>C16+E16</f>
        <v>1437.1899999999998</v>
      </c>
      <c r="H16" s="95"/>
      <c r="J16" s="84"/>
      <c r="X16" s="67" t="s">
        <v>85</v>
      </c>
      <c r="Y16" s="68">
        <v>12</v>
      </c>
      <c r="AM16" s="105"/>
    </row>
    <row r="17" spans="1:39">
      <c r="A17" s="91"/>
      <c r="B17" s="92"/>
      <c r="C17" s="134"/>
      <c r="D17" s="89"/>
      <c r="E17" s="13"/>
      <c r="F17" s="13"/>
      <c r="G17" s="9"/>
      <c r="H17" s="95"/>
      <c r="J17" s="84"/>
      <c r="X17" s="202"/>
      <c r="Y17" s="203"/>
      <c r="AM17" s="105"/>
    </row>
    <row r="18" spans="1:39">
      <c r="A18" s="85" t="s">
        <v>86</v>
      </c>
      <c r="B18" s="5" t="s">
        <v>87</v>
      </c>
      <c r="C18" s="185">
        <f>C4-C5</f>
        <v>15272.490222639994</v>
      </c>
      <c r="D18" s="129">
        <f>C18/C4</f>
        <v>0.25454150371066658</v>
      </c>
      <c r="E18" s="185">
        <f>E4-E5</f>
        <v>0</v>
      </c>
      <c r="F18" s="130" t="e">
        <f>E18/E4</f>
        <v>#DIV/0!</v>
      </c>
      <c r="G18" s="16">
        <f>G4-G5</f>
        <v>20876.000222639988</v>
      </c>
      <c r="H18" s="102">
        <f>G18/G4</f>
        <v>0.31821468428503275</v>
      </c>
      <c r="J18" s="84"/>
      <c r="AM18" s="105"/>
    </row>
    <row r="19" spans="1:39" ht="20.25" customHeight="1">
      <c r="A19" s="103"/>
      <c r="B19" s="104"/>
      <c r="C19" s="104"/>
      <c r="D19" s="104"/>
      <c r="E19" s="104"/>
      <c r="F19" s="104"/>
      <c r="H19" s="105"/>
      <c r="J19" s="115" t="s">
        <v>40</v>
      </c>
      <c r="K19" s="533" t="s">
        <v>88</v>
      </c>
      <c r="L19" s="534"/>
      <c r="M19" s="534"/>
      <c r="N19" s="534"/>
      <c r="O19" s="534"/>
      <c r="P19" s="534"/>
      <c r="Q19" s="534"/>
      <c r="R19" s="534"/>
      <c r="S19" s="534"/>
      <c r="T19" s="534"/>
      <c r="U19" s="535"/>
      <c r="V19" s="29"/>
      <c r="X19" s="520" t="s">
        <v>89</v>
      </c>
      <c r="Y19" s="520"/>
      <c r="AA19" s="27" t="s">
        <v>40</v>
      </c>
      <c r="AB19" s="533" t="s">
        <v>90</v>
      </c>
      <c r="AC19" s="534"/>
      <c r="AD19" s="534"/>
      <c r="AE19" s="534"/>
      <c r="AF19" s="534"/>
      <c r="AG19" s="534"/>
      <c r="AH19" s="534"/>
      <c r="AI19" s="534"/>
      <c r="AJ19" s="534"/>
      <c r="AK19" s="534"/>
      <c r="AL19" s="535"/>
      <c r="AM19" s="117"/>
    </row>
    <row r="20" spans="1:39" ht="24" customHeight="1">
      <c r="A20" s="106" t="s">
        <v>91</v>
      </c>
      <c r="B20" s="4" t="s">
        <v>92</v>
      </c>
      <c r="C20" s="107"/>
      <c r="D20" s="107"/>
      <c r="E20" s="107"/>
      <c r="F20" s="107"/>
      <c r="H20" s="105"/>
      <c r="J20" s="118" t="s">
        <v>45</v>
      </c>
      <c r="K20" s="188" t="s">
        <v>346</v>
      </c>
      <c r="L20" s="32" t="s">
        <v>347</v>
      </c>
      <c r="M20" s="31" t="s">
        <v>348</v>
      </c>
      <c r="N20" s="170" t="s">
        <v>330</v>
      </c>
      <c r="O20" s="32"/>
      <c r="P20" s="32"/>
      <c r="Q20" s="31"/>
      <c r="R20" s="31"/>
      <c r="S20" s="31"/>
      <c r="T20" s="31"/>
      <c r="U20" s="31"/>
      <c r="V20" s="516" t="s">
        <v>51</v>
      </c>
      <c r="X20" s="69" t="s">
        <v>52</v>
      </c>
      <c r="Y20" s="50">
        <v>6400</v>
      </c>
      <c r="AA20" s="30" t="s">
        <v>45</v>
      </c>
      <c r="AB20" s="188" t="s">
        <v>346</v>
      </c>
      <c r="AC20" s="32" t="s">
        <v>347</v>
      </c>
      <c r="AD20" s="31" t="s">
        <v>348</v>
      </c>
      <c r="AE20" s="170" t="s">
        <v>330</v>
      </c>
      <c r="AF20" s="32"/>
      <c r="AG20" s="32"/>
      <c r="AH20" s="31"/>
      <c r="AI20" s="31"/>
      <c r="AJ20" s="31"/>
      <c r="AK20" s="31"/>
      <c r="AL20" s="31"/>
      <c r="AM20" s="518" t="s">
        <v>51</v>
      </c>
    </row>
    <row r="21" spans="1:39">
      <c r="A21" s="108" t="s">
        <v>93</v>
      </c>
      <c r="B21" s="3">
        <f>H6/G5*100</f>
        <v>46.918932228644763</v>
      </c>
      <c r="C21" s="109"/>
      <c r="D21" s="109"/>
      <c r="E21" s="109"/>
      <c r="F21" s="109"/>
      <c r="H21" s="105"/>
      <c r="J21" s="118"/>
      <c r="K21" s="70">
        <v>1</v>
      </c>
      <c r="L21" s="70">
        <v>2</v>
      </c>
      <c r="M21" s="70">
        <v>3</v>
      </c>
      <c r="N21" s="70">
        <v>4</v>
      </c>
      <c r="O21" s="70">
        <v>5</v>
      </c>
      <c r="P21" s="70">
        <v>6</v>
      </c>
      <c r="Q21" s="70"/>
      <c r="R21" s="70"/>
      <c r="S21" s="70"/>
      <c r="T21" s="70"/>
      <c r="U21" s="70"/>
      <c r="V21" s="517"/>
      <c r="X21" s="71" t="s">
        <v>55</v>
      </c>
      <c r="Y21" s="77">
        <f>G6+G7</f>
        <v>7387.67</v>
      </c>
      <c r="AA21" s="30"/>
      <c r="AB21" s="70">
        <v>1</v>
      </c>
      <c r="AC21" s="70">
        <v>2</v>
      </c>
      <c r="AD21" s="70">
        <v>3</v>
      </c>
      <c r="AE21" s="70">
        <v>4</v>
      </c>
      <c r="AF21" s="70">
        <v>5</v>
      </c>
      <c r="AG21" s="70">
        <v>6</v>
      </c>
      <c r="AH21" s="70">
        <v>7</v>
      </c>
      <c r="AI21" s="70">
        <v>8</v>
      </c>
      <c r="AJ21" s="70">
        <v>9</v>
      </c>
      <c r="AK21" s="70">
        <v>10</v>
      </c>
      <c r="AL21" s="70">
        <v>11</v>
      </c>
      <c r="AM21" s="519"/>
    </row>
    <row r="22" spans="1:39">
      <c r="A22" s="110" t="s">
        <v>94</v>
      </c>
      <c r="B22" s="3">
        <f>H9/G5*100</f>
        <v>32.13729055990477</v>
      </c>
      <c r="C22" s="109"/>
      <c r="D22" s="109"/>
      <c r="E22" s="109"/>
      <c r="F22" s="109"/>
      <c r="H22" s="105"/>
      <c r="J22" s="125"/>
      <c r="K22" s="73">
        <f>V22/4</f>
        <v>1600</v>
      </c>
      <c r="L22" s="73">
        <f>K22</f>
        <v>1600</v>
      </c>
      <c r="M22" s="73">
        <f>K22</f>
        <v>1600</v>
      </c>
      <c r="N22" s="73">
        <f>V22/4</f>
        <v>1600</v>
      </c>
      <c r="O22" s="73"/>
      <c r="P22" s="73"/>
      <c r="Q22" s="73"/>
      <c r="R22" s="73"/>
      <c r="S22" s="73"/>
      <c r="T22" s="73"/>
      <c r="U22" s="73"/>
      <c r="V22" s="74">
        <f>Y20</f>
        <v>6400</v>
      </c>
      <c r="X22" s="520" t="s">
        <v>90</v>
      </c>
      <c r="Y22" s="520"/>
      <c r="AA22" s="72"/>
      <c r="AB22" s="73">
        <f>AM22/4</f>
        <v>1500</v>
      </c>
      <c r="AC22" s="73">
        <f>AB22</f>
        <v>1500</v>
      </c>
      <c r="AD22" s="73">
        <f>AB22</f>
        <v>1500</v>
      </c>
      <c r="AE22" s="73">
        <f>AM22/4</f>
        <v>1500</v>
      </c>
      <c r="AF22" s="73"/>
      <c r="AG22" s="73"/>
      <c r="AH22" s="73"/>
      <c r="AI22" s="73"/>
      <c r="AJ22" s="73"/>
      <c r="AK22" s="73"/>
      <c r="AL22" s="73"/>
      <c r="AM22" s="126">
        <f>Y23</f>
        <v>6000</v>
      </c>
    </row>
    <row r="23" spans="1:39">
      <c r="A23" s="111" t="s">
        <v>95</v>
      </c>
      <c r="B23" s="2">
        <f>H14/G5*100</f>
        <v>20.943777211450453</v>
      </c>
      <c r="C23" s="109"/>
      <c r="D23" s="109"/>
      <c r="E23" s="109"/>
      <c r="F23" s="109"/>
      <c r="H23" s="105"/>
      <c r="J23" s="125"/>
      <c r="K23" s="75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216">
        <f t="shared" ref="V23" si="2">K23+L23+M23+N23+O23+P23+U23+Q23+R23+S23+T23</f>
        <v>0</v>
      </c>
      <c r="X23" s="69" t="s">
        <v>52</v>
      </c>
      <c r="Y23" s="50">
        <f>3500+700+1800</f>
        <v>6000</v>
      </c>
      <c r="AA23" s="72"/>
      <c r="AB23" s="75">
        <f>1982.89+2688.13+284.8</f>
        <v>4955.8200000000006</v>
      </c>
      <c r="AC23" s="76">
        <f>1006.74</f>
        <v>1006.74</v>
      </c>
      <c r="AD23" s="76">
        <v>1022.94</v>
      </c>
      <c r="AE23" s="76">
        <f>99+98.9</f>
        <v>197.9</v>
      </c>
      <c r="AF23" s="76"/>
      <c r="AG23" s="76"/>
      <c r="AH23" s="76"/>
      <c r="AI23" s="76"/>
      <c r="AJ23" s="76"/>
      <c r="AK23" s="76"/>
      <c r="AL23" s="76"/>
      <c r="AM23" s="165">
        <f t="shared" ref="AM23" si="3">AB23+AC23+AD23+AE23+AF23+AG23+AL23+AH23+AI23+AJ23+AK23</f>
        <v>7183.4</v>
      </c>
    </row>
    <row r="24" spans="1:39">
      <c r="A24" s="84"/>
      <c r="H24" s="105"/>
      <c r="J24" s="84"/>
      <c r="X24" s="71" t="s">
        <v>55</v>
      </c>
      <c r="Y24" s="77">
        <f>AM23</f>
        <v>7183.4</v>
      </c>
      <c r="AM24" s="105"/>
    </row>
    <row r="25" spans="1:39">
      <c r="A25" s="84"/>
      <c r="H25" s="105"/>
      <c r="J25" s="84"/>
      <c r="V25" s="128"/>
      <c r="AM25" s="105"/>
    </row>
    <row r="26" spans="1:39" ht="28.5" customHeight="1">
      <c r="A26" s="84"/>
      <c r="H26" s="105"/>
      <c r="J26" s="84"/>
      <c r="X26" s="10" t="s">
        <v>96</v>
      </c>
      <c r="Y26" s="145">
        <v>15394.08</v>
      </c>
      <c r="AM26" s="105"/>
    </row>
    <row r="27" spans="1:39" ht="27.75">
      <c r="A27" s="84"/>
      <c r="H27" s="105"/>
      <c r="J27" s="84"/>
      <c r="X27" s="10" t="s">
        <v>97</v>
      </c>
      <c r="Y27" s="145">
        <v>12493.28</v>
      </c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AM30" s="105"/>
    </row>
    <row r="31" spans="1:39">
      <c r="A31" s="84"/>
      <c r="H31" s="105"/>
      <c r="J31" s="84"/>
      <c r="X31" s="521" t="s">
        <v>98</v>
      </c>
      <c r="Y31" s="522"/>
      <c r="AM31" s="105"/>
    </row>
    <row r="32" spans="1:39">
      <c r="A32" s="84"/>
      <c r="H32" s="105"/>
      <c r="J32" s="84"/>
      <c r="X32" s="523">
        <v>45141</v>
      </c>
      <c r="Y32" s="524"/>
      <c r="AM32" s="105"/>
    </row>
    <row r="33" spans="1:39">
      <c r="A33" s="112"/>
      <c r="B33" s="113"/>
      <c r="C33" s="113"/>
      <c r="D33" s="113"/>
      <c r="E33" s="113"/>
      <c r="F33" s="113"/>
      <c r="G33" s="113"/>
      <c r="H33" s="114"/>
      <c r="J33" s="112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525"/>
      <c r="Y33" s="526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4"/>
    </row>
    <row r="38" spans="1:39">
      <c r="I38" s="1"/>
    </row>
  </sheetData>
  <mergeCells count="20">
    <mergeCell ref="C1:AM1"/>
    <mergeCell ref="V4:V5"/>
    <mergeCell ref="AM4:AM5"/>
    <mergeCell ref="X6:Y6"/>
    <mergeCell ref="K19:U19"/>
    <mergeCell ref="X19:Y19"/>
    <mergeCell ref="AB19:AL19"/>
    <mergeCell ref="A2:H2"/>
    <mergeCell ref="J2:AM2"/>
    <mergeCell ref="C3:D3"/>
    <mergeCell ref="E3:F3"/>
    <mergeCell ref="G3:H3"/>
    <mergeCell ref="K3:U3"/>
    <mergeCell ref="X3:Y3"/>
    <mergeCell ref="AB3:AL3"/>
    <mergeCell ref="V20:V21"/>
    <mergeCell ref="AM20:AM21"/>
    <mergeCell ref="X22:Y22"/>
    <mergeCell ref="X31:Y31"/>
    <mergeCell ref="X32:Y33"/>
  </mergeCells>
  <conditionalFormatting sqref="Y8">
    <cfRule type="cellIs" dxfId="14" priority="3" operator="greaterThan">
      <formula>$Y$7</formula>
    </cfRule>
  </conditionalFormatting>
  <conditionalFormatting sqref="Y21">
    <cfRule type="cellIs" dxfId="13" priority="2" operator="greaterThan">
      <formula>$Y$20</formula>
    </cfRule>
  </conditionalFormatting>
  <conditionalFormatting sqref="Y24">
    <cfRule type="cellIs" dxfId="12" priority="1" operator="greaterThan">
      <formula>$Y$23</formula>
    </cfRule>
  </conditionalFormatting>
  <pageMargins left="0.7" right="0.7" top="0.75" bottom="0.75" header="0.3" footer="0.3"/>
  <pageSetup paperSize="9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CAC7B-40B9-42B2-9375-8086F0B724F3}">
  <sheetPr>
    <pageSetUpPr fitToPage="1"/>
  </sheetPr>
  <dimension ref="A1:AO54"/>
  <sheetViews>
    <sheetView workbookViewId="0">
      <selection activeCell="B1" sqref="B1:AO1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hidden="1" customWidth="1" outlineLevel="1"/>
    <col min="5" max="5" width="11.85546875" hidden="1" customWidth="1" outlineLevel="1"/>
    <col min="6" max="6" width="10.140625" hidden="1" customWidth="1" outlineLevel="1"/>
    <col min="7" max="7" width="11.85546875" hidden="1" customWidth="1" outlineLevel="1"/>
    <col min="8" max="8" width="10.140625" hidden="1" customWidth="1" outlineLevel="1"/>
    <col min="9" max="9" width="10.7109375" customWidth="1" collapsed="1"/>
    <col min="10" max="10" width="10.7109375" customWidth="1"/>
    <col min="11" max="11" width="3.28515625" customWidth="1"/>
    <col min="12" max="12" width="0.5703125" hidden="1" customWidth="1" outlineLevel="1"/>
    <col min="13" max="13" width="9.7109375" hidden="1" customWidth="1" outlineLevel="1" collapsed="1"/>
    <col min="14" max="17" width="9.7109375" hidden="1" customWidth="1" outlineLevel="1"/>
    <col min="18" max="24" width="9.140625" hidden="1" customWidth="1" outlineLevel="1"/>
    <col min="25" max="25" width="3" hidden="1" customWidth="1" outlineLevel="1"/>
    <col min="26" max="26" width="22.140625" customWidth="1" collapsed="1"/>
    <col min="27" max="27" width="18.140625" bestFit="1" customWidth="1"/>
    <col min="28" max="28" width="2.85546875" customWidth="1"/>
    <col min="29" max="29" width="20.7109375" hidden="1" customWidth="1" outlineLevel="1"/>
    <col min="30" max="30" width="9.7109375" customWidth="1" collapsed="1"/>
    <col min="31" max="34" width="9.7109375" customWidth="1"/>
    <col min="35" max="39" width="12.7109375" hidden="1" customWidth="1" outlineLevel="1"/>
    <col min="40" max="40" width="2.140625" hidden="1" customWidth="1" outlineLevel="1"/>
    <col min="41" max="41" width="9.5703125" customWidth="1" collapsed="1"/>
    <col min="42" max="42" width="12.7109375" customWidth="1"/>
  </cols>
  <sheetData>
    <row r="1" spans="1:41" ht="25.5" customHeight="1">
      <c r="A1" s="350" t="s">
        <v>349</v>
      </c>
      <c r="B1" s="592" t="s">
        <v>350</v>
      </c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  <c r="O1" s="592"/>
      <c r="P1" s="592"/>
      <c r="Q1" s="592"/>
      <c r="R1" s="592"/>
      <c r="S1" s="592"/>
      <c r="T1" s="592"/>
      <c r="U1" s="592"/>
      <c r="V1" s="592"/>
      <c r="W1" s="592"/>
      <c r="X1" s="592"/>
      <c r="Y1" s="592"/>
      <c r="Z1" s="592"/>
      <c r="AA1" s="592"/>
      <c r="AB1" s="592"/>
      <c r="AC1" s="592"/>
      <c r="AD1" s="592"/>
      <c r="AE1" s="592"/>
      <c r="AF1" s="592"/>
      <c r="AG1" s="592"/>
      <c r="AH1" s="592"/>
      <c r="AI1" s="592"/>
      <c r="AJ1" s="592"/>
      <c r="AK1" s="592"/>
      <c r="AL1" s="592"/>
      <c r="AM1" s="592"/>
      <c r="AN1" s="592"/>
      <c r="AO1" s="592"/>
    </row>
    <row r="2" spans="1:41" ht="18.75">
      <c r="A2" s="555" t="s">
        <v>35</v>
      </c>
      <c r="B2" s="556"/>
      <c r="C2" s="556"/>
      <c r="D2" s="556"/>
      <c r="E2" s="556"/>
      <c r="F2" s="556"/>
      <c r="G2" s="556"/>
      <c r="H2" s="556"/>
      <c r="I2" s="556"/>
      <c r="J2" s="557"/>
      <c r="K2" s="7"/>
      <c r="L2" s="558" t="s">
        <v>36</v>
      </c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59"/>
      <c r="AN2" s="559"/>
      <c r="AO2" s="560"/>
    </row>
    <row r="3" spans="1:41" ht="15.75" customHeight="1">
      <c r="A3" s="84"/>
      <c r="C3" s="561" t="s">
        <v>351</v>
      </c>
      <c r="D3" s="562"/>
      <c r="E3" s="561" t="s">
        <v>352</v>
      </c>
      <c r="F3" s="562"/>
      <c r="G3" s="561" t="s">
        <v>334</v>
      </c>
      <c r="H3" s="562"/>
      <c r="I3" s="563" t="s">
        <v>39</v>
      </c>
      <c r="J3" s="564"/>
      <c r="L3" s="115" t="s">
        <v>40</v>
      </c>
      <c r="M3" s="533" t="s">
        <v>41</v>
      </c>
      <c r="N3" s="534"/>
      <c r="O3" s="534"/>
      <c r="P3" s="534"/>
      <c r="Q3" s="534"/>
      <c r="R3" s="534"/>
      <c r="S3" s="534"/>
      <c r="T3" s="534"/>
      <c r="U3" s="534"/>
      <c r="V3" s="534"/>
      <c r="W3" s="535"/>
      <c r="X3" s="28"/>
      <c r="Y3" s="116"/>
      <c r="Z3" s="548" t="s">
        <v>42</v>
      </c>
      <c r="AA3" s="549"/>
      <c r="AB3" s="116"/>
      <c r="AC3" s="27" t="s">
        <v>40</v>
      </c>
      <c r="AD3" s="533" t="s">
        <v>20</v>
      </c>
      <c r="AE3" s="534"/>
      <c r="AF3" s="534"/>
      <c r="AG3" s="534"/>
      <c r="AH3" s="534"/>
      <c r="AI3" s="534"/>
      <c r="AJ3" s="534"/>
      <c r="AK3" s="534"/>
      <c r="AL3" s="534"/>
      <c r="AM3" s="534"/>
      <c r="AN3" s="535"/>
      <c r="AO3" s="117"/>
    </row>
    <row r="4" spans="1:41" ht="16.5" customHeight="1">
      <c r="A4" s="85" t="s">
        <v>43</v>
      </c>
      <c r="B4" s="5" t="s">
        <v>44</v>
      </c>
      <c r="C4" s="253">
        <f>I4*0.05</f>
        <v>3563.6865000000007</v>
      </c>
      <c r="E4" s="253">
        <f>I4*0.85</f>
        <v>60582.670500000007</v>
      </c>
      <c r="F4" s="11"/>
      <c r="G4" s="253">
        <f>AA10*0.1</f>
        <v>7127.3730000000014</v>
      </c>
      <c r="H4" s="11"/>
      <c r="I4" s="144">
        <f>AA10</f>
        <v>71273.73000000001</v>
      </c>
      <c r="J4" s="86">
        <f>D4+F4</f>
        <v>0</v>
      </c>
      <c r="L4" s="118" t="s">
        <v>45</v>
      </c>
      <c r="M4" s="31" t="s">
        <v>353</v>
      </c>
      <c r="N4" s="32" t="s">
        <v>354</v>
      </c>
      <c r="O4" s="31" t="s">
        <v>355</v>
      </c>
      <c r="P4" s="32" t="s">
        <v>356</v>
      </c>
      <c r="Q4" s="32"/>
      <c r="R4" s="32"/>
      <c r="S4" s="32"/>
      <c r="T4" s="32"/>
      <c r="U4" s="32"/>
      <c r="V4" s="32"/>
      <c r="W4" s="32"/>
      <c r="X4" s="527" t="s">
        <v>51</v>
      </c>
      <c r="Y4" s="116"/>
      <c r="Z4" s="33" t="s">
        <v>52</v>
      </c>
      <c r="AA4" s="34">
        <f>P6</f>
        <v>1</v>
      </c>
      <c r="AB4" s="116"/>
      <c r="AC4" s="30" t="s">
        <v>45</v>
      </c>
      <c r="AD4" s="31" t="s">
        <v>353</v>
      </c>
      <c r="AE4" s="32" t="s">
        <v>354</v>
      </c>
      <c r="AF4" s="31" t="s">
        <v>355</v>
      </c>
      <c r="AG4" s="32" t="s">
        <v>356</v>
      </c>
      <c r="AH4" s="32"/>
      <c r="AI4" s="32"/>
      <c r="AJ4" s="32"/>
      <c r="AK4" s="32"/>
      <c r="AL4" s="32"/>
      <c r="AM4" s="32"/>
      <c r="AN4" s="32"/>
      <c r="AO4" s="584" t="s">
        <v>51</v>
      </c>
    </row>
    <row r="5" spans="1:41">
      <c r="A5" s="85" t="s">
        <v>53</v>
      </c>
      <c r="B5" s="5" t="s">
        <v>54</v>
      </c>
      <c r="C5" s="192">
        <f>C6+C7+C8+C9+C10+C11+C13+C14+C16+C15+C12</f>
        <v>3645.2913528399999</v>
      </c>
      <c r="D5" s="5"/>
      <c r="E5" s="192">
        <f>E6+E7+E8+E9+E10+E11+E13+E14+E16+E15+E12</f>
        <v>24136.751804982858</v>
      </c>
      <c r="F5" s="12"/>
      <c r="G5" s="192">
        <f>G6+G7+G8+G9+G10+G11+G13+G14+G16+G15+G12</f>
        <v>22946.716492240001</v>
      </c>
      <c r="H5" s="12"/>
      <c r="I5" s="8">
        <f>I6+I7+I8+I9+I10+I11+I13+I14+I16+I15+I12+I17</f>
        <v>50728.759650062857</v>
      </c>
      <c r="J5" s="87"/>
      <c r="L5" s="119"/>
      <c r="M5" s="80">
        <v>1</v>
      </c>
      <c r="N5" s="80">
        <v>2</v>
      </c>
      <c r="O5" s="80">
        <v>3</v>
      </c>
      <c r="P5" s="80">
        <v>4</v>
      </c>
      <c r="Q5" s="80">
        <v>5</v>
      </c>
      <c r="R5" s="80">
        <v>6</v>
      </c>
      <c r="S5" s="80"/>
      <c r="T5" s="80"/>
      <c r="U5" s="80"/>
      <c r="V5" s="80"/>
      <c r="W5" s="36"/>
      <c r="X5" s="528"/>
      <c r="Z5" s="37" t="s">
        <v>55</v>
      </c>
      <c r="AA5" s="38">
        <f>P7+X8</f>
        <v>0</v>
      </c>
      <c r="AC5" s="35"/>
      <c r="AD5" s="80">
        <v>1</v>
      </c>
      <c r="AE5" s="80">
        <v>2</v>
      </c>
      <c r="AF5" s="80">
        <v>3</v>
      </c>
      <c r="AG5" s="80">
        <v>4</v>
      </c>
      <c r="AH5" s="80">
        <v>5</v>
      </c>
      <c r="AI5" s="80">
        <v>6</v>
      </c>
      <c r="AJ5" s="36">
        <v>7</v>
      </c>
      <c r="AK5" s="36">
        <v>8</v>
      </c>
      <c r="AL5" s="36">
        <v>9</v>
      </c>
      <c r="AM5" s="36">
        <v>10</v>
      </c>
      <c r="AN5" s="36">
        <v>11</v>
      </c>
      <c r="AO5" s="585"/>
    </row>
    <row r="6" spans="1:41">
      <c r="A6" s="88" t="s">
        <v>56</v>
      </c>
      <c r="B6" s="81" t="s">
        <v>57</v>
      </c>
      <c r="C6" s="19">
        <v>910.27</v>
      </c>
      <c r="D6" s="13">
        <f>C6+C7+C8</f>
        <v>910.27</v>
      </c>
      <c r="E6" s="13">
        <f>233.26+25.98+241.78+69.98+130.09+83.55+1213.6+23.43+16.29+39.47+13.92+89.64+20.99+177.56+1636.76-84+18.32+18.26+62.31+109.78+10+186.28+44.98+17.28+73.17</f>
        <v>4472.6799999999985</v>
      </c>
      <c r="F6" s="13">
        <f>E6+E7+E8</f>
        <v>4847.2799999999988</v>
      </c>
      <c r="G6" s="13">
        <f>456.71+1030.62+30.99+872.76+143.43+40.04+83.95+13.77+155.5+62.89+74.92+44.84+20.65+9.82+83.03+12.58+52.09+9.58+29.91+32.57+39.95+28.38+353.6</f>
        <v>3682.58</v>
      </c>
      <c r="H6" s="13">
        <f>G6+G7+G8</f>
        <v>8968.49</v>
      </c>
      <c r="I6" s="9">
        <f>C6+E6+G6</f>
        <v>9065.5299999999988</v>
      </c>
      <c r="J6" s="90">
        <f>I6+I7+I8</f>
        <v>14726.039999999999</v>
      </c>
      <c r="L6" s="120"/>
      <c r="M6" s="39">
        <v>0.25</v>
      </c>
      <c r="N6" s="40">
        <v>0.5</v>
      </c>
      <c r="O6" s="40">
        <v>0.75</v>
      </c>
      <c r="P6" s="40">
        <v>1</v>
      </c>
      <c r="Q6" s="40"/>
      <c r="R6" s="40"/>
      <c r="S6" s="40"/>
      <c r="T6" s="40"/>
      <c r="U6" s="40"/>
      <c r="V6" s="40"/>
      <c r="W6" s="41"/>
      <c r="X6" s="40">
        <f>P6</f>
        <v>1</v>
      </c>
      <c r="Z6" s="531" t="s">
        <v>58</v>
      </c>
      <c r="AA6" s="532"/>
      <c r="AC6" s="42"/>
      <c r="AD6" s="43">
        <f>AO6/5</f>
        <v>139</v>
      </c>
      <c r="AE6" s="43">
        <f>AD6</f>
        <v>139</v>
      </c>
      <c r="AF6" s="43">
        <f>AD6</f>
        <v>139</v>
      </c>
      <c r="AG6" s="43">
        <f>AF6</f>
        <v>139</v>
      </c>
      <c r="AH6" s="43">
        <f>AG6</f>
        <v>139</v>
      </c>
      <c r="AI6" s="43"/>
      <c r="AJ6" s="44"/>
      <c r="AK6" s="44"/>
      <c r="AL6" s="44"/>
      <c r="AM6" s="44"/>
      <c r="AN6" s="44"/>
      <c r="AO6" s="121">
        <v>695</v>
      </c>
    </row>
    <row r="7" spans="1:41">
      <c r="A7" s="91" t="s">
        <v>59</v>
      </c>
      <c r="B7" s="92" t="s">
        <v>60</v>
      </c>
      <c r="C7" s="134"/>
      <c r="D7" s="13"/>
      <c r="E7" s="13"/>
      <c r="F7" s="13"/>
      <c r="G7" s="13"/>
      <c r="H7" s="13"/>
      <c r="I7" s="9">
        <f t="shared" ref="I7:I17" si="0">C7+E7+G7</f>
        <v>0</v>
      </c>
      <c r="J7" s="90"/>
      <c r="L7" s="122"/>
      <c r="M7" s="45"/>
      <c r="N7" s="46"/>
      <c r="O7" s="46"/>
      <c r="P7" s="46"/>
      <c r="Q7" s="46"/>
      <c r="R7" s="46"/>
      <c r="S7" s="46"/>
      <c r="T7" s="46"/>
      <c r="U7" s="46"/>
      <c r="V7" s="46"/>
      <c r="W7" s="47"/>
      <c r="X7" s="48">
        <f>Q7</f>
        <v>0</v>
      </c>
      <c r="Z7" s="49" t="s">
        <v>52</v>
      </c>
      <c r="AA7" s="50">
        <f>AO6/AA13</f>
        <v>8.3034647550776572</v>
      </c>
      <c r="AC7" s="51"/>
      <c r="AD7" s="52">
        <v>57</v>
      </c>
      <c r="AE7" s="53">
        <v>157</v>
      </c>
      <c r="AF7" s="53">
        <v>247</v>
      </c>
      <c r="AG7" s="53">
        <v>45</v>
      </c>
      <c r="AH7" s="53">
        <v>195</v>
      </c>
      <c r="AI7" s="53"/>
      <c r="AJ7" s="54"/>
      <c r="AK7" s="54"/>
      <c r="AL7" s="54"/>
      <c r="AM7" s="54"/>
      <c r="AN7" s="54"/>
      <c r="AO7" s="164">
        <f t="shared" ref="AO7" si="1">AD7+AE7+AF7+AG7+AH7+AI7+AN7+AJ7+AK7+AL7+AM7</f>
        <v>701</v>
      </c>
    </row>
    <row r="8" spans="1:41">
      <c r="A8" s="93" t="s">
        <v>61</v>
      </c>
      <c r="B8" s="82" t="s">
        <v>62</v>
      </c>
      <c r="C8" s="20"/>
      <c r="D8" s="14"/>
      <c r="E8" s="14">
        <f>165.51+20+92.11+69.55+27.43</f>
        <v>374.6</v>
      </c>
      <c r="F8" s="14"/>
      <c r="G8" s="14">
        <f>6.96+5+3350+9.52+1762.65+26.78+125</f>
        <v>5285.91</v>
      </c>
      <c r="H8" s="14"/>
      <c r="I8" s="217">
        <f t="shared" si="0"/>
        <v>5660.51</v>
      </c>
      <c r="J8" s="95"/>
      <c r="L8" s="124"/>
      <c r="M8" s="55"/>
      <c r="N8" s="55"/>
      <c r="O8" s="55"/>
      <c r="P8" s="56"/>
      <c r="Q8" s="56"/>
      <c r="R8" s="56"/>
      <c r="S8" s="58"/>
      <c r="T8" s="58"/>
      <c r="U8" s="58"/>
      <c r="V8" s="58"/>
      <c r="W8" s="58"/>
      <c r="X8" s="56">
        <f>SUM(M8:W8)</f>
        <v>0</v>
      </c>
      <c r="Z8" s="59" t="s">
        <v>55</v>
      </c>
      <c r="AA8" s="77">
        <f>AO7/AA13</f>
        <v>8.3751493428912784</v>
      </c>
      <c r="AO8" s="105"/>
    </row>
    <row r="9" spans="1:41">
      <c r="A9" s="88" t="s">
        <v>63</v>
      </c>
      <c r="B9" s="81" t="s">
        <v>64</v>
      </c>
      <c r="C9" s="169">
        <f>(2500/20*2-100+191)*1.42</f>
        <v>484.21999999999997</v>
      </c>
      <c r="D9" s="151">
        <f>C9+C10+C11+C13+C12</f>
        <v>1195.7813528400002</v>
      </c>
      <c r="E9" s="354">
        <f>((339*13.5+26*14.5+2400/21*12)-E13)*1.42</f>
        <v>3869.3985714285714</v>
      </c>
      <c r="F9" s="137">
        <f>E9+E10+E11+E13+E12</f>
        <v>13005.551804982857</v>
      </c>
      <c r="G9" s="368">
        <f>((66*13.5+35*15+94*15+3000/20*15)-G13)*1.42</f>
        <v>3586.9199999999996</v>
      </c>
      <c r="H9" s="353">
        <f>G9+G10+G11+G13+G12</f>
        <v>7836.6364922399998</v>
      </c>
      <c r="I9" s="9">
        <f t="shared" si="0"/>
        <v>7940.5385714285712</v>
      </c>
      <c r="J9" s="96">
        <f>I9+I10+I11+I13+I12</f>
        <v>22037.96965006286</v>
      </c>
      <c r="L9" s="84"/>
      <c r="AO9" s="105"/>
    </row>
    <row r="10" spans="1:41">
      <c r="A10" s="91" t="s">
        <v>65</v>
      </c>
      <c r="B10" s="92" t="s">
        <v>66</v>
      </c>
      <c r="C10" s="134">
        <f>C9*0.2359</f>
        <v>114.227498</v>
      </c>
      <c r="D10" s="13"/>
      <c r="E10" s="355">
        <f>E9*0.2359</f>
        <v>912.79112299999997</v>
      </c>
      <c r="F10" s="89"/>
      <c r="G10" s="369">
        <f>G9*0.2359</f>
        <v>846.15442799999994</v>
      </c>
      <c r="H10" s="13"/>
      <c r="I10" s="9">
        <f t="shared" si="0"/>
        <v>1873.173049</v>
      </c>
      <c r="J10" s="95"/>
      <c r="L10" s="84"/>
      <c r="Z10" s="10" t="s">
        <v>67</v>
      </c>
      <c r="AA10" s="232">
        <f>92312.1-21038.37</f>
        <v>71273.73000000001</v>
      </c>
      <c r="AO10" s="105"/>
    </row>
    <row r="11" spans="1:41">
      <c r="A11" s="91" t="s">
        <v>68</v>
      </c>
      <c r="B11" s="92" t="s">
        <v>69</v>
      </c>
      <c r="C11" s="134">
        <f>(C9+C10)*0.08</f>
        <v>47.875799839999999</v>
      </c>
      <c r="D11" s="13"/>
      <c r="E11" s="355">
        <f>(E9+E10)*0.08</f>
        <v>382.57517555428569</v>
      </c>
      <c r="F11" s="89"/>
      <c r="G11" s="369">
        <f>(G9+G10)*0.08</f>
        <v>354.64595423999998</v>
      </c>
      <c r="H11" s="13"/>
      <c r="I11" s="9">
        <f t="shared" si="0"/>
        <v>785.09692963428574</v>
      </c>
      <c r="J11" s="95"/>
      <c r="L11" s="84"/>
      <c r="Z11" s="62" t="s">
        <v>70</v>
      </c>
      <c r="AA11" s="366">
        <v>800</v>
      </c>
      <c r="AO11" s="105"/>
    </row>
    <row r="12" spans="1:41">
      <c r="A12" s="97" t="s">
        <v>71</v>
      </c>
      <c r="B12" s="98" t="s">
        <v>72</v>
      </c>
      <c r="C12" s="135">
        <f>(C4)*0.07</f>
        <v>249.45805500000009</v>
      </c>
      <c r="D12" s="142"/>
      <c r="E12" s="355">
        <f>(E4)*0.07</f>
        <v>4240.786935000001</v>
      </c>
      <c r="F12" s="131"/>
      <c r="G12" s="369">
        <f>(G4)*0.07</f>
        <v>498.91611000000017</v>
      </c>
      <c r="H12" s="142"/>
      <c r="I12" s="9">
        <f t="shared" si="0"/>
        <v>4989.1611000000012</v>
      </c>
      <c r="J12" s="95"/>
      <c r="L12" s="84"/>
      <c r="AO12" s="105"/>
    </row>
    <row r="13" spans="1:41">
      <c r="A13" s="91" t="s">
        <v>73</v>
      </c>
      <c r="B13" s="92" t="s">
        <v>74</v>
      </c>
      <c r="C13" s="139">
        <f>3*50*2</f>
        <v>300</v>
      </c>
      <c r="D13" s="143"/>
      <c r="E13" s="356">
        <v>3600</v>
      </c>
      <c r="F13" s="133"/>
      <c r="G13" s="370">
        <f>2550</f>
        <v>2550</v>
      </c>
      <c r="H13" s="143"/>
      <c r="I13" s="217">
        <f t="shared" si="0"/>
        <v>6450</v>
      </c>
      <c r="J13" s="99"/>
      <c r="L13" s="84"/>
      <c r="Z13" s="64" t="s">
        <v>75</v>
      </c>
      <c r="AA13" s="65">
        <f>25.68+23.63+24.39+10</f>
        <v>83.7</v>
      </c>
      <c r="AO13" s="105"/>
    </row>
    <row r="14" spans="1:41">
      <c r="A14" s="100" t="s">
        <v>76</v>
      </c>
      <c r="B14" s="81" t="s">
        <v>77</v>
      </c>
      <c r="C14" s="134">
        <v>887.85</v>
      </c>
      <c r="D14" s="13">
        <f>C14+C16+C15</f>
        <v>1539.24</v>
      </c>
      <c r="E14" s="159">
        <f>2430+355.14+194.4</f>
        <v>2979.54</v>
      </c>
      <c r="F14" s="13">
        <f>E14+E16+E15</f>
        <v>6283.92</v>
      </c>
      <c r="G14" s="159">
        <f>362.95+573.08+340.3+1782</f>
        <v>3058.33</v>
      </c>
      <c r="H14" s="13">
        <f>G14+G16+G15</f>
        <v>6141.59</v>
      </c>
      <c r="I14" s="9">
        <f t="shared" si="0"/>
        <v>6925.7199999999993</v>
      </c>
      <c r="J14" s="95">
        <f>I14+I16+I15+I17</f>
        <v>13964.75</v>
      </c>
      <c r="L14" s="84"/>
      <c r="Z14" s="66" t="s">
        <v>78</v>
      </c>
      <c r="AA14" s="66" t="s">
        <v>79</v>
      </c>
      <c r="AO14" s="105"/>
    </row>
    <row r="15" spans="1:41">
      <c r="A15" s="101" t="s">
        <v>80</v>
      </c>
      <c r="B15" s="92" t="s">
        <v>81</v>
      </c>
      <c r="C15" s="134">
        <f>108.63+6.23+6.23+10.23+13.51+8</f>
        <v>152.82999999999998</v>
      </c>
      <c r="D15" s="13"/>
      <c r="E15" s="142">
        <f>409.98+240.99+47.9+332.99+24+286.43+47.9+60+38.9+495.72+165.24+192.76+137.26+45.75*2+139.65+105.95+131.42+59</f>
        <v>3007.5900000000006</v>
      </c>
      <c r="F15" s="13"/>
      <c r="G15" s="142">
        <f>185.46+167.99+166.96+69+296.98+50+31.8+509.31+200.98/2+640.8/3</f>
        <v>1791.59</v>
      </c>
      <c r="H15" s="13"/>
      <c r="I15" s="9">
        <f t="shared" si="0"/>
        <v>4952.01</v>
      </c>
      <c r="J15" s="95"/>
      <c r="L15" s="84"/>
      <c r="Z15" s="67" t="s">
        <v>82</v>
      </c>
      <c r="AA15" s="68">
        <v>13</v>
      </c>
      <c r="AO15" s="105"/>
    </row>
    <row r="16" spans="1:41">
      <c r="A16" s="91" t="s">
        <v>83</v>
      </c>
      <c r="B16" s="92" t="s">
        <v>84</v>
      </c>
      <c r="C16" s="19">
        <f>202.58+130.11+13.51+27.36+125</f>
        <v>498.56000000000006</v>
      </c>
      <c r="D16" s="13"/>
      <c r="E16" s="13">
        <f>4.96+154.99+126.84+10</f>
        <v>296.79000000000002</v>
      </c>
      <c r="F16" s="13"/>
      <c r="G16" s="358">
        <f>78.4+117.84/2+17.18+115.52/2+24.3+50+33.65+16.87+46.4+32.2+37+32.2+18.87+86.18+641.46+60.28</f>
        <v>1291.6699999999998</v>
      </c>
      <c r="H16" s="13"/>
      <c r="I16" s="9">
        <f t="shared" si="0"/>
        <v>2087.02</v>
      </c>
      <c r="J16" s="95"/>
      <c r="L16" s="84"/>
      <c r="Z16" s="67" t="s">
        <v>85</v>
      </c>
      <c r="AA16" s="68">
        <v>12</v>
      </c>
      <c r="AO16" s="105"/>
    </row>
    <row r="17" spans="1:41">
      <c r="A17" s="91"/>
      <c r="B17" s="92"/>
      <c r="C17" s="19"/>
      <c r="D17" s="13"/>
      <c r="E17" s="13"/>
      <c r="F17" s="13"/>
      <c r="G17" s="13"/>
      <c r="H17" s="13"/>
      <c r="I17" s="9">
        <f t="shared" si="0"/>
        <v>0</v>
      </c>
      <c r="J17" s="95"/>
      <c r="L17" s="84"/>
      <c r="Z17" s="202"/>
      <c r="AA17" s="203"/>
      <c r="AO17" s="105"/>
    </row>
    <row r="18" spans="1:41">
      <c r="A18" s="85" t="s">
        <v>86</v>
      </c>
      <c r="B18" s="5" t="s">
        <v>87</v>
      </c>
      <c r="C18" s="185">
        <f>C4-C5</f>
        <v>-81.604852839999239</v>
      </c>
      <c r="D18" s="129">
        <f>C18/C4</f>
        <v>-2.2898998786789811E-2</v>
      </c>
      <c r="E18" s="185">
        <f>E4-E5</f>
        <v>36445.91869501715</v>
      </c>
      <c r="F18" s="130">
        <f>E18/E4</f>
        <v>0.60158983409318589</v>
      </c>
      <c r="G18" s="185">
        <f>G4-G5</f>
        <v>-15819.343492239999</v>
      </c>
      <c r="H18" s="130">
        <f>G18/G4</f>
        <v>-2.2195195189363592</v>
      </c>
      <c r="I18" s="16">
        <f>I4-I5</f>
        <v>20544.970349937154</v>
      </c>
      <c r="J18" s="102">
        <f>I18/I4</f>
        <v>0.28825445714623255</v>
      </c>
      <c r="L18" s="84"/>
      <c r="AO18" s="105"/>
    </row>
    <row r="19" spans="1:41" ht="20.25" customHeight="1">
      <c r="A19" s="103"/>
      <c r="B19" s="104"/>
      <c r="C19" s="104"/>
      <c r="D19" s="104"/>
      <c r="E19" s="104"/>
      <c r="F19" s="104"/>
      <c r="G19" s="104"/>
      <c r="H19" s="104"/>
      <c r="J19" s="105"/>
      <c r="L19" s="115" t="s">
        <v>40</v>
      </c>
      <c r="M19" s="533" t="s">
        <v>88</v>
      </c>
      <c r="N19" s="534"/>
      <c r="O19" s="534"/>
      <c r="P19" s="534"/>
      <c r="Q19" s="534"/>
      <c r="R19" s="534"/>
      <c r="S19" s="534"/>
      <c r="T19" s="534"/>
      <c r="U19" s="534"/>
      <c r="V19" s="534"/>
      <c r="W19" s="535"/>
      <c r="X19" s="29"/>
      <c r="Z19" s="520" t="s">
        <v>89</v>
      </c>
      <c r="AA19" s="520"/>
      <c r="AC19" s="27" t="s">
        <v>40</v>
      </c>
      <c r="AD19" s="533" t="s">
        <v>90</v>
      </c>
      <c r="AE19" s="534"/>
      <c r="AF19" s="534"/>
      <c r="AG19" s="534"/>
      <c r="AH19" s="534"/>
      <c r="AI19" s="534"/>
      <c r="AJ19" s="534"/>
      <c r="AK19" s="534"/>
      <c r="AL19" s="534"/>
      <c r="AM19" s="534"/>
      <c r="AN19" s="535"/>
      <c r="AO19" s="117"/>
    </row>
    <row r="20" spans="1:41" ht="24" customHeight="1">
      <c r="A20" s="106" t="s">
        <v>91</v>
      </c>
      <c r="B20" s="4" t="s">
        <v>92</v>
      </c>
      <c r="C20" s="107"/>
      <c r="D20" s="107"/>
      <c r="E20" s="107"/>
      <c r="F20" s="107"/>
      <c r="G20" s="107"/>
      <c r="H20" s="107"/>
      <c r="J20" s="105"/>
      <c r="L20" s="118" t="s">
        <v>45</v>
      </c>
      <c r="M20" s="31" t="s">
        <v>353</v>
      </c>
      <c r="N20" s="32" t="s">
        <v>354</v>
      </c>
      <c r="O20" s="31" t="s">
        <v>355</v>
      </c>
      <c r="P20" s="32" t="s">
        <v>356</v>
      </c>
      <c r="Q20" s="32" t="s">
        <v>357</v>
      </c>
      <c r="R20" s="32"/>
      <c r="S20" s="31"/>
      <c r="T20" s="31"/>
      <c r="U20" s="31"/>
      <c r="V20" s="31"/>
      <c r="W20" s="31"/>
      <c r="X20" s="516" t="s">
        <v>51</v>
      </c>
      <c r="Z20" s="69" t="s">
        <v>52</v>
      </c>
      <c r="AA20" s="50">
        <f>32080-21038.37</f>
        <v>11041.630000000001</v>
      </c>
      <c r="AC20" s="30" t="s">
        <v>45</v>
      </c>
      <c r="AD20" s="31" t="s">
        <v>353</v>
      </c>
      <c r="AE20" s="32" t="s">
        <v>354</v>
      </c>
      <c r="AF20" s="31" t="s">
        <v>355</v>
      </c>
      <c r="AG20" s="32" t="s">
        <v>356</v>
      </c>
      <c r="AH20" s="32"/>
      <c r="AI20" s="32"/>
      <c r="AJ20" s="31"/>
      <c r="AK20" s="31"/>
      <c r="AL20" s="31"/>
      <c r="AM20" s="31"/>
      <c r="AN20" s="31"/>
      <c r="AO20" s="518" t="s">
        <v>51</v>
      </c>
    </row>
    <row r="21" spans="1:41">
      <c r="A21" s="108" t="s">
        <v>93</v>
      </c>
      <c r="B21" s="3">
        <f>J6/I5*100</f>
        <v>29.028977056768529</v>
      </c>
      <c r="C21" s="109"/>
      <c r="D21" s="109"/>
      <c r="E21" s="109"/>
      <c r="F21" s="109"/>
      <c r="G21" s="109"/>
      <c r="H21" s="109"/>
      <c r="J21" s="105"/>
      <c r="L21" s="118"/>
      <c r="M21" s="70">
        <v>1</v>
      </c>
      <c r="N21" s="70">
        <v>2</v>
      </c>
      <c r="O21" s="70">
        <v>3</v>
      </c>
      <c r="P21" s="70">
        <v>4</v>
      </c>
      <c r="Q21" s="70">
        <v>5</v>
      </c>
      <c r="R21" s="70">
        <v>6</v>
      </c>
      <c r="S21" s="70"/>
      <c r="T21" s="70"/>
      <c r="U21" s="70"/>
      <c r="V21" s="70"/>
      <c r="W21" s="70"/>
      <c r="X21" s="517"/>
      <c r="Z21" s="71" t="s">
        <v>55</v>
      </c>
      <c r="AA21" s="77">
        <f>I6+I7</f>
        <v>9065.5299999999988</v>
      </c>
      <c r="AC21" s="30"/>
      <c r="AD21" s="70">
        <v>1</v>
      </c>
      <c r="AE21" s="70">
        <v>2</v>
      </c>
      <c r="AF21" s="70">
        <v>3</v>
      </c>
      <c r="AG21" s="70">
        <v>4</v>
      </c>
      <c r="AH21" s="70">
        <v>5</v>
      </c>
      <c r="AI21" s="70">
        <v>6</v>
      </c>
      <c r="AJ21" s="70">
        <v>7</v>
      </c>
      <c r="AK21" s="70">
        <v>8</v>
      </c>
      <c r="AL21" s="70">
        <v>9</v>
      </c>
      <c r="AM21" s="70">
        <v>10</v>
      </c>
      <c r="AN21" s="70">
        <v>11</v>
      </c>
      <c r="AO21" s="519"/>
    </row>
    <row r="22" spans="1:41">
      <c r="A22" s="110" t="s">
        <v>94</v>
      </c>
      <c r="B22" s="3">
        <f>J9/I5*100</f>
        <v>43.442752793652332</v>
      </c>
      <c r="C22" s="109"/>
      <c r="D22" s="109"/>
      <c r="E22" s="109"/>
      <c r="F22" s="109"/>
      <c r="G22" s="109"/>
      <c r="H22" s="109"/>
      <c r="J22" s="105"/>
      <c r="L22" s="125"/>
      <c r="M22" s="73">
        <f>X22/5</f>
        <v>2208.326</v>
      </c>
      <c r="N22" s="73">
        <f>M22</f>
        <v>2208.326</v>
      </c>
      <c r="O22" s="73">
        <f>M22</f>
        <v>2208.326</v>
      </c>
      <c r="P22" s="73">
        <f>O22</f>
        <v>2208.326</v>
      </c>
      <c r="Q22" s="73">
        <f>P22</f>
        <v>2208.326</v>
      </c>
      <c r="R22" s="73"/>
      <c r="S22" s="73"/>
      <c r="T22" s="73"/>
      <c r="U22" s="73"/>
      <c r="V22" s="73"/>
      <c r="W22" s="73"/>
      <c r="X22" s="74">
        <f>AA20</f>
        <v>11041.630000000001</v>
      </c>
      <c r="Z22" s="520" t="s">
        <v>90</v>
      </c>
      <c r="AA22" s="520"/>
      <c r="AC22" s="72"/>
      <c r="AD22" s="73">
        <f>AO22/5</f>
        <v>0</v>
      </c>
      <c r="AE22" s="73">
        <f>AD22</f>
        <v>0</v>
      </c>
      <c r="AF22" s="73">
        <f>AD22</f>
        <v>0</v>
      </c>
      <c r="AG22" s="73">
        <f>AF22</f>
        <v>0</v>
      </c>
      <c r="AH22" s="73">
        <f>AG22</f>
        <v>0</v>
      </c>
      <c r="AI22" s="73"/>
      <c r="AJ22" s="73"/>
      <c r="AK22" s="73"/>
      <c r="AL22" s="73"/>
      <c r="AM22" s="73"/>
      <c r="AN22" s="73"/>
      <c r="AO22" s="126">
        <f>AA23</f>
        <v>0</v>
      </c>
    </row>
    <row r="23" spans="1:41">
      <c r="A23" s="111" t="s">
        <v>95</v>
      </c>
      <c r="B23" s="2">
        <f>J14/I5*100</f>
        <v>27.528270149579136</v>
      </c>
      <c r="C23" s="109"/>
      <c r="D23" s="109"/>
      <c r="E23" s="109"/>
      <c r="F23" s="109"/>
      <c r="G23" s="109"/>
      <c r="H23" s="109"/>
      <c r="J23" s="105"/>
      <c r="L23" s="125"/>
      <c r="M23" s="75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163">
        <f t="shared" ref="X23" si="2">M23+N23+O23+P23+Q23+R23+W23+S23+T23+U23+V23</f>
        <v>0</v>
      </c>
      <c r="Z23" s="69" t="s">
        <v>52</v>
      </c>
      <c r="AA23" s="50"/>
      <c r="AC23" s="72"/>
      <c r="AD23" s="75">
        <f>2430+887.85+355.14+152.83</f>
        <v>3825.8199999999997</v>
      </c>
      <c r="AE23" s="76">
        <f>409.98+240.99+47.9+194.4</f>
        <v>893.27</v>
      </c>
      <c r="AF23" s="76">
        <f>332.99+24+286.43+24+25+47.9+60+38.9+495.72+165.24+137.26+45.75*2+192.76+139.65+105.95+131.42</f>
        <v>2298.7199999999998</v>
      </c>
      <c r="AG23" s="76">
        <f>10+362.95+185.46</f>
        <v>558.41</v>
      </c>
      <c r="AH23" s="76">
        <f>G15+G14-548+31.8+509.31+640.8/3</f>
        <v>5056.630000000001</v>
      </c>
      <c r="AI23" s="76"/>
      <c r="AJ23" s="76"/>
      <c r="AK23" s="76"/>
      <c r="AL23" s="76"/>
      <c r="AM23" s="76"/>
      <c r="AN23" s="76"/>
      <c r="AO23" s="165">
        <f t="shared" ref="AO23" si="3">AD23+AE23+AF23+AG23+AH23+AI23+AN23+AJ23+AK23+AL23+AM23</f>
        <v>12632.85</v>
      </c>
    </row>
    <row r="24" spans="1:41">
      <c r="A24" s="84"/>
      <c r="J24" s="105"/>
      <c r="L24" s="84"/>
      <c r="Z24" s="71" t="s">
        <v>55</v>
      </c>
      <c r="AA24" s="77">
        <f>AO23</f>
        <v>12632.85</v>
      </c>
      <c r="AO24" s="105"/>
    </row>
    <row r="25" spans="1:41">
      <c r="A25" s="84"/>
      <c r="J25" s="105"/>
      <c r="L25" s="84"/>
      <c r="X25" s="128"/>
      <c r="AO25" s="105"/>
    </row>
    <row r="26" spans="1:41" ht="27.75">
      <c r="A26" s="84"/>
      <c r="J26" s="105"/>
      <c r="L26" s="84"/>
      <c r="Z26" s="10" t="s">
        <v>96</v>
      </c>
      <c r="AA26" s="145">
        <f>20970-5662.76</f>
        <v>15307.24</v>
      </c>
      <c r="AO26" s="105"/>
    </row>
    <row r="27" spans="1:41" ht="27.75">
      <c r="A27" s="84"/>
      <c r="J27" s="105"/>
      <c r="L27" s="84"/>
      <c r="Z27" s="10" t="s">
        <v>97</v>
      </c>
      <c r="AA27" s="145">
        <f>I8+1030.62+185.46+139.65/2+105.95-374.6</f>
        <v>6677.7649999999994</v>
      </c>
      <c r="AO27" s="105"/>
    </row>
    <row r="28" spans="1:41">
      <c r="A28" s="84"/>
      <c r="J28" s="105"/>
      <c r="L28" s="84"/>
      <c r="AO28" s="105"/>
    </row>
    <row r="29" spans="1:41">
      <c r="A29" s="84"/>
      <c r="J29" s="105"/>
      <c r="L29" s="84"/>
      <c r="AO29" s="105"/>
    </row>
    <row r="30" spans="1:41">
      <c r="A30" s="84"/>
      <c r="J30" s="105"/>
      <c r="L30" s="84"/>
      <c r="AO30" s="105"/>
    </row>
    <row r="31" spans="1:41">
      <c r="A31" s="84"/>
      <c r="J31" s="105"/>
      <c r="L31" s="84"/>
      <c r="Z31" s="521" t="s">
        <v>98</v>
      </c>
      <c r="AA31" s="522"/>
      <c r="AO31" s="105"/>
    </row>
    <row r="32" spans="1:41">
      <c r="A32" s="84"/>
      <c r="J32" s="105"/>
      <c r="L32" s="84"/>
      <c r="Z32" s="523">
        <v>45184</v>
      </c>
      <c r="AA32" s="524"/>
      <c r="AO32" s="105"/>
    </row>
    <row r="33" spans="1:41">
      <c r="A33" s="112"/>
      <c r="B33" s="113"/>
      <c r="C33" s="113"/>
      <c r="D33" s="113"/>
      <c r="E33" s="113"/>
      <c r="F33" s="113"/>
      <c r="G33" s="113"/>
      <c r="H33" s="113"/>
      <c r="I33" s="113"/>
      <c r="J33" s="114"/>
      <c r="L33" s="112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525"/>
      <c r="AA33" s="526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4"/>
    </row>
    <row r="38" spans="1:41">
      <c r="K38" s="1"/>
    </row>
    <row r="52" spans="2:2">
      <c r="B52" s="352"/>
    </row>
    <row r="53" spans="2:2">
      <c r="B53" s="352"/>
    </row>
    <row r="54" spans="2:2">
      <c r="B54" s="352"/>
    </row>
  </sheetData>
  <mergeCells count="21">
    <mergeCell ref="M19:W19"/>
    <mergeCell ref="Z19:AA19"/>
    <mergeCell ref="AD19:AN19"/>
    <mergeCell ref="B1:AO1"/>
    <mergeCell ref="A2:J2"/>
    <mergeCell ref="L2:AO2"/>
    <mergeCell ref="C3:D3"/>
    <mergeCell ref="E3:F3"/>
    <mergeCell ref="I3:J3"/>
    <mergeCell ref="M3:W3"/>
    <mergeCell ref="G3:H3"/>
    <mergeCell ref="Z32:AA33"/>
    <mergeCell ref="X20:X21"/>
    <mergeCell ref="AD3:AN3"/>
    <mergeCell ref="X4:X5"/>
    <mergeCell ref="AO4:AO5"/>
    <mergeCell ref="Z6:AA6"/>
    <mergeCell ref="AO20:AO21"/>
    <mergeCell ref="Z22:AA22"/>
    <mergeCell ref="Z31:AA31"/>
    <mergeCell ref="Z3:AA3"/>
  </mergeCells>
  <conditionalFormatting sqref="AA8">
    <cfRule type="cellIs" dxfId="11" priority="3" operator="greaterThan">
      <formula>$AA$7</formula>
    </cfRule>
  </conditionalFormatting>
  <conditionalFormatting sqref="AA21">
    <cfRule type="cellIs" dxfId="10" priority="2" operator="greaterThan">
      <formula>$AA$20</formula>
    </cfRule>
  </conditionalFormatting>
  <conditionalFormatting sqref="AA24">
    <cfRule type="cellIs" dxfId="9" priority="1" operator="greaterThan">
      <formula>$AA$23</formula>
    </cfRule>
  </conditionalFormatting>
  <pageMargins left="0.7" right="0.7" top="0.75" bottom="0.75" header="0.3" footer="0.3"/>
  <pageSetup paperSize="9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943E-2726-46A5-944D-981E7E12DB47}">
  <sheetPr>
    <pageSetUpPr fitToPage="1"/>
  </sheetPr>
  <dimension ref="A1:AM37"/>
  <sheetViews>
    <sheetView workbookViewId="0">
      <selection activeCell="C13" sqref="C13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0.7109375" hidden="1" customWidth="1" outlineLevel="1"/>
    <col min="6" max="6" width="10.140625" hidden="1" customWidth="1" outlineLevel="1"/>
    <col min="7" max="7" width="10.7109375" customWidth="1" collapsed="1"/>
    <col min="8" max="8" width="10.7109375" customWidth="1"/>
    <col min="9" max="9" width="3.28515625" customWidth="1"/>
    <col min="10" max="10" width="0.5703125" hidden="1" customWidth="1" outlineLevel="1"/>
    <col min="11" max="11" width="9.7109375" hidden="1" customWidth="1" outlineLevel="1" collapsed="1"/>
    <col min="12" max="15" width="9.7109375" hidden="1" customWidth="1" outlineLevel="1"/>
    <col min="16" max="20" width="9.140625" hidden="1" customWidth="1" outlineLevel="1"/>
    <col min="21" max="21" width="3.140625" hidden="1" customWidth="1" outlineLevel="1"/>
    <col min="22" max="22" width="9.140625" hidden="1" customWidth="1" outlineLevel="1" collapsed="1"/>
    <col min="23" max="23" width="3" customWidth="1" collapsed="1"/>
    <col min="24" max="24" width="21.7109375" customWidth="1"/>
    <col min="25" max="25" width="17.140625" customWidth="1"/>
    <col min="26" max="26" width="2.85546875" customWidth="1"/>
    <col min="27" max="27" width="20.7109375" hidden="1" customWidth="1" outlineLevel="1"/>
    <col min="28" max="28" width="9.7109375" customWidth="1" collapsed="1"/>
    <col min="29" max="32" width="9.7109375" hidden="1" customWidth="1" outlineLevel="1"/>
    <col min="33" max="37" width="12.7109375" hidden="1" customWidth="1" outlineLevel="1"/>
    <col min="38" max="38" width="1.85546875" hidden="1" customWidth="1" outlineLevel="1"/>
    <col min="39" max="39" width="9.5703125" customWidth="1" collapsed="1"/>
    <col min="40" max="40" width="12.7109375" customWidth="1"/>
  </cols>
  <sheetData>
    <row r="1" spans="1:39" ht="26.25" thickBot="1">
      <c r="A1" s="237" t="s">
        <v>1</v>
      </c>
      <c r="B1" s="331"/>
      <c r="C1" s="576" t="s">
        <v>358</v>
      </c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</row>
    <row r="2" spans="1:39" ht="18.75">
      <c r="A2" s="555" t="s">
        <v>35</v>
      </c>
      <c r="B2" s="556"/>
      <c r="C2" s="556"/>
      <c r="D2" s="556"/>
      <c r="E2" s="556"/>
      <c r="F2" s="556"/>
      <c r="G2" s="556"/>
      <c r="H2" s="557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</row>
    <row r="3" spans="1:39" ht="30" customHeight="1">
      <c r="A3" s="84"/>
      <c r="C3" s="561">
        <v>45047</v>
      </c>
      <c r="D3" s="562"/>
      <c r="E3" s="561"/>
      <c r="F3" s="562"/>
      <c r="G3" s="563" t="s">
        <v>39</v>
      </c>
      <c r="H3" s="564"/>
      <c r="J3" s="115" t="s">
        <v>40</v>
      </c>
      <c r="K3" s="533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51" t="s">
        <v>20</v>
      </c>
      <c r="AC3" s="552"/>
      <c r="AD3" s="552"/>
      <c r="AE3" s="552"/>
      <c r="AF3" s="552"/>
      <c r="AG3" s="552"/>
      <c r="AH3" s="552"/>
      <c r="AI3" s="552"/>
      <c r="AJ3" s="552"/>
      <c r="AK3" s="552"/>
      <c r="AL3" s="553"/>
      <c r="AM3" s="117"/>
    </row>
    <row r="4" spans="1:39" ht="14.25" customHeight="1">
      <c r="A4" s="85" t="s">
        <v>43</v>
      </c>
      <c r="B4" s="5" t="s">
        <v>44</v>
      </c>
      <c r="C4" s="83">
        <f>Y10</f>
        <v>16500</v>
      </c>
      <c r="E4" s="83"/>
      <c r="G4" s="153">
        <f>C4</f>
        <v>16500</v>
      </c>
      <c r="H4" s="86"/>
      <c r="J4" s="118" t="s">
        <v>45</v>
      </c>
      <c r="K4" s="31" t="s">
        <v>359</v>
      </c>
      <c r="L4" s="31" t="s">
        <v>360</v>
      </c>
      <c r="M4" s="31" t="s">
        <v>361</v>
      </c>
      <c r="N4" s="32" t="s">
        <v>362</v>
      </c>
      <c r="O4" s="32" t="s">
        <v>363</v>
      </c>
      <c r="P4" s="190" t="s">
        <v>364</v>
      </c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V6</f>
        <v>1</v>
      </c>
      <c r="Z4" s="116"/>
      <c r="AA4" s="30" t="s">
        <v>45</v>
      </c>
      <c r="AB4" s="31" t="s">
        <v>359</v>
      </c>
      <c r="AC4" s="31" t="s">
        <v>360</v>
      </c>
      <c r="AD4" s="31" t="s">
        <v>361</v>
      </c>
      <c r="AE4" s="32" t="s">
        <v>362</v>
      </c>
      <c r="AF4" s="32" t="s">
        <v>363</v>
      </c>
      <c r="AG4" s="190" t="str">
        <f>P4</f>
        <v>13/06-21/06</v>
      </c>
      <c r="AH4" s="32"/>
      <c r="AI4" s="32"/>
      <c r="AJ4" s="32"/>
      <c r="AK4" s="32"/>
      <c r="AL4" s="32"/>
      <c r="AM4" s="529" t="s">
        <v>51</v>
      </c>
    </row>
    <row r="5" spans="1:39">
      <c r="A5" s="85" t="s">
        <v>53</v>
      </c>
      <c r="B5" s="5" t="s">
        <v>54</v>
      </c>
      <c r="C5" s="192">
        <f>C6+C7+C8+C9+C10+C11+C13+C14+C16+C15+C12</f>
        <v>10810.341027660001</v>
      </c>
      <c r="D5" s="5"/>
      <c r="E5" s="192">
        <f>E6+E7+E8+E9+E10+E11+E13+E14+E16+E15+E12</f>
        <v>0</v>
      </c>
      <c r="F5" s="5"/>
      <c r="G5" s="154">
        <f>G6+G7+G8+G9+G10+G11+G13+G14+G16+G15+G12</f>
        <v>10810.341027660001</v>
      </c>
      <c r="H5" s="87"/>
      <c r="J5" s="119"/>
      <c r="K5" s="80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V7+V8</f>
        <v>1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88" t="s">
        <v>56</v>
      </c>
      <c r="B6" s="81" t="s">
        <v>57</v>
      </c>
      <c r="C6" s="22">
        <f>446.12+40.12+15.08+4+88.12+114.32+300.9+147.17</f>
        <v>1155.83</v>
      </c>
      <c r="D6" s="13">
        <f>C6+C7+C8</f>
        <v>2775.83</v>
      </c>
      <c r="E6" s="159"/>
      <c r="F6" s="13">
        <f>E6+E7+E8</f>
        <v>0</v>
      </c>
      <c r="G6" s="9">
        <f>C6+E6</f>
        <v>1155.83</v>
      </c>
      <c r="H6" s="90">
        <f>G6+G7+G8</f>
        <v>2775.83</v>
      </c>
      <c r="J6" s="120"/>
      <c r="K6" s="39">
        <v>0.2</v>
      </c>
      <c r="L6" s="40">
        <v>0.4</v>
      </c>
      <c r="M6" s="40">
        <v>0.6</v>
      </c>
      <c r="N6" s="40">
        <v>0.8</v>
      </c>
      <c r="O6" s="40">
        <v>1</v>
      </c>
      <c r="P6" s="40"/>
      <c r="Q6" s="40"/>
      <c r="R6" s="40"/>
      <c r="S6" s="40"/>
      <c r="T6" s="40"/>
      <c r="U6" s="41"/>
      <c r="V6" s="40">
        <f>O6</f>
        <v>1</v>
      </c>
      <c r="X6" s="531" t="s">
        <v>58</v>
      </c>
      <c r="Y6" s="532"/>
      <c r="AA6" s="42"/>
      <c r="AB6" s="43">
        <f>AM6/5</f>
        <v>0</v>
      </c>
      <c r="AC6" s="43">
        <f>AB6</f>
        <v>0</v>
      </c>
      <c r="AD6" s="43">
        <f>AB6</f>
        <v>0</v>
      </c>
      <c r="AE6" s="43">
        <f>AD6</f>
        <v>0</v>
      </c>
      <c r="AF6" s="43">
        <f>AE6</f>
        <v>0</v>
      </c>
      <c r="AG6" s="43"/>
      <c r="AH6" s="44"/>
      <c r="AI6" s="44"/>
      <c r="AJ6" s="44"/>
      <c r="AK6" s="44"/>
      <c r="AL6" s="44"/>
      <c r="AM6" s="121"/>
    </row>
    <row r="7" spans="1:39">
      <c r="A7" s="91" t="s">
        <v>59</v>
      </c>
      <c r="B7" s="92" t="s">
        <v>60</v>
      </c>
      <c r="C7" s="135"/>
      <c r="D7" s="13"/>
      <c r="E7" s="156"/>
      <c r="F7" s="13"/>
      <c r="G7" s="9">
        <f t="shared" ref="G7:G16" si="0">C7+E7</f>
        <v>0</v>
      </c>
      <c r="H7" s="90"/>
      <c r="J7" s="122"/>
      <c r="K7" s="45">
        <v>0.2</v>
      </c>
      <c r="L7" s="46">
        <v>0.4</v>
      </c>
      <c r="M7" s="46">
        <v>0.6</v>
      </c>
      <c r="N7" s="46">
        <v>0.8</v>
      </c>
      <c r="O7" s="46">
        <v>1</v>
      </c>
      <c r="P7" s="46"/>
      <c r="Q7" s="46"/>
      <c r="R7" s="46"/>
      <c r="S7" s="46"/>
      <c r="T7" s="46"/>
      <c r="U7" s="47"/>
      <c r="V7" s="48">
        <f>O7</f>
        <v>1</v>
      </c>
      <c r="X7" s="49" t="s">
        <v>52</v>
      </c>
      <c r="Y7" s="50">
        <f>AM6/Y13</f>
        <v>0</v>
      </c>
      <c r="AA7" s="51"/>
      <c r="AB7" s="52">
        <f>240.5-49</f>
        <v>191.5</v>
      </c>
      <c r="AC7" s="53"/>
      <c r="AD7" s="53"/>
      <c r="AE7" s="53"/>
      <c r="AF7" s="53"/>
      <c r="AG7" s="53"/>
      <c r="AH7" s="54"/>
      <c r="AI7" s="54"/>
      <c r="AJ7" s="54"/>
      <c r="AK7" s="54"/>
      <c r="AL7" s="54"/>
      <c r="AM7" s="123">
        <f>AB7+AC7+AD7+AE7+AF7+AG7+AL7+AH7+AI7+AJ7+AK7</f>
        <v>191.5</v>
      </c>
    </row>
    <row r="8" spans="1:39">
      <c r="A8" s="93" t="s">
        <v>61</v>
      </c>
      <c r="B8" s="82" t="s">
        <v>62</v>
      </c>
      <c r="C8" s="193">
        <f>1100+520</f>
        <v>1620</v>
      </c>
      <c r="D8" s="14"/>
      <c r="E8" s="14"/>
      <c r="F8" s="14"/>
      <c r="G8" s="9">
        <f t="shared" si="0"/>
        <v>1620</v>
      </c>
      <c r="H8" s="95"/>
      <c r="J8" s="124"/>
      <c r="K8" s="55"/>
      <c r="L8" s="55"/>
      <c r="M8" s="55"/>
      <c r="N8" s="56"/>
      <c r="O8" s="57"/>
      <c r="P8" s="56">
        <f>Y11/Y10</f>
        <v>0</v>
      </c>
      <c r="Q8" s="58"/>
      <c r="R8" s="58"/>
      <c r="S8" s="58"/>
      <c r="T8" s="58"/>
      <c r="U8" s="58"/>
      <c r="V8" s="56">
        <f>P8</f>
        <v>0</v>
      </c>
      <c r="X8" s="59" t="s">
        <v>55</v>
      </c>
      <c r="Y8" s="77">
        <f>AM7/Y13</f>
        <v>2.9461538461538463</v>
      </c>
      <c r="AM8" s="105"/>
    </row>
    <row r="9" spans="1:39">
      <c r="A9" s="88" t="s">
        <v>63</v>
      </c>
      <c r="B9" s="81" t="s">
        <v>64</v>
      </c>
      <c r="C9" s="169">
        <f>((2500/20*6+49*2*12+39*12+54.5*12.5)-C13)*1.42</f>
        <v>3216.6549999999997</v>
      </c>
      <c r="D9" s="151">
        <f>C9+C10+C11+C13+C12</f>
        <v>6258.5010276599996</v>
      </c>
      <c r="E9" s="160"/>
      <c r="F9" s="137">
        <f>E9+E10+E11+E13+E12</f>
        <v>0</v>
      </c>
      <c r="G9" s="24">
        <f t="shared" si="0"/>
        <v>3216.6549999999997</v>
      </c>
      <c r="H9" s="96">
        <f>G9+G10+G11+G13+G12</f>
        <v>6258.5010276599996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758.8089144999999</v>
      </c>
      <c r="D10" s="13"/>
      <c r="E10" s="156">
        <f>E9*0.2359</f>
        <v>0</v>
      </c>
      <c r="F10" s="89"/>
      <c r="G10" s="25">
        <f t="shared" si="0"/>
        <v>758.8089144999999</v>
      </c>
      <c r="H10" s="95"/>
      <c r="J10" s="84"/>
      <c r="X10" s="10" t="s">
        <v>67</v>
      </c>
      <c r="Y10" s="61">
        <v>16500</v>
      </c>
      <c r="AM10" s="105"/>
    </row>
    <row r="11" spans="1:39">
      <c r="A11" s="91" t="s">
        <v>68</v>
      </c>
      <c r="B11" s="92" t="s">
        <v>69</v>
      </c>
      <c r="C11" s="134">
        <f>(C9+C10)*0.08</f>
        <v>318.03711315999999</v>
      </c>
      <c r="D11" s="13"/>
      <c r="E11" s="156">
        <f>(E9+E10)*0.08</f>
        <v>0</v>
      </c>
      <c r="F11" s="89"/>
      <c r="G11" s="25">
        <f t="shared" si="0"/>
        <v>318.03711315999999</v>
      </c>
      <c r="H11" s="95"/>
      <c r="J11" s="84"/>
      <c r="X11" s="62" t="s">
        <v>70</v>
      </c>
      <c r="Y11" s="63"/>
      <c r="AM11" s="105"/>
    </row>
    <row r="12" spans="1:39">
      <c r="A12" s="97" t="s">
        <v>71</v>
      </c>
      <c r="B12" s="98" t="s">
        <v>72</v>
      </c>
      <c r="C12" s="135">
        <f>(C4)*0.07</f>
        <v>1155</v>
      </c>
      <c r="D12" s="142"/>
      <c r="E12" s="159">
        <f>(E13+E11+E10+E9)*0.07</f>
        <v>0</v>
      </c>
      <c r="F12" s="131"/>
      <c r="G12" s="25">
        <f t="shared" si="0"/>
        <v>1155</v>
      </c>
      <c r="H12" s="95"/>
      <c r="J12" s="84"/>
      <c r="AM12" s="105"/>
    </row>
    <row r="13" spans="1:39">
      <c r="A13" s="91" t="s">
        <v>73</v>
      </c>
      <c r="B13" s="92" t="s">
        <v>74</v>
      </c>
      <c r="C13" s="139">
        <f>7*2*30+8*30+5*30</f>
        <v>810</v>
      </c>
      <c r="D13" s="143"/>
      <c r="E13" s="143"/>
      <c r="F13" s="133"/>
      <c r="G13" s="26">
        <f t="shared" si="0"/>
        <v>810</v>
      </c>
      <c r="H13" s="99"/>
      <c r="J13" s="84"/>
      <c r="X13" s="64" t="s">
        <v>75</v>
      </c>
      <c r="Y13" s="65">
        <v>65</v>
      </c>
      <c r="AM13" s="105"/>
    </row>
    <row r="14" spans="1:39" ht="15.75" customHeight="1">
      <c r="A14" s="100" t="s">
        <v>76</v>
      </c>
      <c r="B14" s="81" t="s">
        <v>77</v>
      </c>
      <c r="C14" s="19">
        <f>1267.2+40.62+39.6</f>
        <v>1347.4199999999998</v>
      </c>
      <c r="D14" s="156">
        <f>C14+C16+C15</f>
        <v>1776.0099999999998</v>
      </c>
      <c r="E14" s="13"/>
      <c r="F14" s="156">
        <f>E14+E16+E15</f>
        <v>0</v>
      </c>
      <c r="G14" s="9">
        <f t="shared" si="0"/>
        <v>1347.4199999999998</v>
      </c>
      <c r="H14" s="95">
        <f>G14+G16+G15</f>
        <v>1776.0099999999998</v>
      </c>
      <c r="J14" s="84"/>
      <c r="X14" s="66" t="s">
        <v>78</v>
      </c>
      <c r="Y14" s="66" t="s">
        <v>79</v>
      </c>
      <c r="AM14" s="105"/>
    </row>
    <row r="15" spans="1:39">
      <c r="A15" s="101" t="s">
        <v>80</v>
      </c>
      <c r="B15" s="92" t="s">
        <v>81</v>
      </c>
      <c r="C15" s="19">
        <f>89.67+163.57</f>
        <v>253.24</v>
      </c>
      <c r="D15" s="13"/>
      <c r="E15" s="13"/>
      <c r="F15" s="13"/>
      <c r="G15" s="9">
        <f t="shared" si="0"/>
        <v>253.24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34">
        <f>50.35+125</f>
        <v>175.35</v>
      </c>
      <c r="D16" s="13"/>
      <c r="E16" s="156"/>
      <c r="F16" s="13"/>
      <c r="G16" s="9">
        <f t="shared" si="0"/>
        <v>175.35</v>
      </c>
      <c r="H16" s="95"/>
      <c r="J16" s="84"/>
      <c r="X16" s="67" t="s">
        <v>85</v>
      </c>
      <c r="Y16" s="68">
        <v>12</v>
      </c>
      <c r="AM16" s="105"/>
    </row>
    <row r="17" spans="1:39">
      <c r="A17" s="85" t="s">
        <v>86</v>
      </c>
      <c r="B17" s="5" t="s">
        <v>87</v>
      </c>
      <c r="C17" s="185">
        <f>C4-C5</f>
        <v>5689.6589723399993</v>
      </c>
      <c r="D17" s="129">
        <f>C17/C4</f>
        <v>0.34482781650545452</v>
      </c>
      <c r="E17" s="185">
        <f>E4-E5</f>
        <v>0</v>
      </c>
      <c r="F17" s="130" t="e">
        <f>E17/E4</f>
        <v>#DIV/0!</v>
      </c>
      <c r="G17" s="16">
        <f>G4-G5</f>
        <v>5689.6589723399993</v>
      </c>
      <c r="H17" s="102">
        <f>G17/G4</f>
        <v>0.34482781650545452</v>
      </c>
      <c r="J17" s="84"/>
      <c r="AM17" s="105"/>
    </row>
    <row r="18" spans="1:39" ht="30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51" t="s">
        <v>88</v>
      </c>
      <c r="L18" s="552"/>
      <c r="M18" s="552"/>
      <c r="N18" s="552"/>
      <c r="O18" s="552"/>
      <c r="P18" s="552"/>
      <c r="Q18" s="552"/>
      <c r="R18" s="552"/>
      <c r="S18" s="552"/>
      <c r="T18" s="552"/>
      <c r="U18" s="553"/>
      <c r="V18" s="29"/>
      <c r="X18" s="520" t="s">
        <v>89</v>
      </c>
      <c r="Y18" s="520"/>
      <c r="AA18" s="27" t="s">
        <v>40</v>
      </c>
      <c r="AB18" s="551" t="s">
        <v>90</v>
      </c>
      <c r="AC18" s="552"/>
      <c r="AD18" s="552"/>
      <c r="AE18" s="552"/>
      <c r="AF18" s="552"/>
      <c r="AG18" s="552"/>
      <c r="AH18" s="552"/>
      <c r="AI18" s="552"/>
      <c r="AJ18" s="552"/>
      <c r="AK18" s="552"/>
      <c r="AL18" s="553"/>
      <c r="AM18" s="117"/>
    </row>
    <row r="19" spans="1:39" ht="15.75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31" t="s">
        <v>359</v>
      </c>
      <c r="L19" s="31" t="s">
        <v>360</v>
      </c>
      <c r="M19" s="31" t="s">
        <v>361</v>
      </c>
      <c r="N19" s="32" t="s">
        <v>362</v>
      </c>
      <c r="O19" s="32" t="s">
        <v>363</v>
      </c>
      <c r="P19" s="190" t="str">
        <f>P4</f>
        <v>13/06-21/06</v>
      </c>
      <c r="Q19" s="31"/>
      <c r="R19" s="31"/>
      <c r="S19" s="31"/>
      <c r="T19" s="31"/>
      <c r="U19" s="31"/>
      <c r="V19" s="516" t="s">
        <v>51</v>
      </c>
      <c r="X19" s="69" t="s">
        <v>52</v>
      </c>
      <c r="Y19" s="50"/>
      <c r="AA19" s="30" t="s">
        <v>45</v>
      </c>
      <c r="AB19" s="31" t="s">
        <v>359</v>
      </c>
      <c r="AC19" s="31" t="s">
        <v>360</v>
      </c>
      <c r="AD19" s="31" t="s">
        <v>361</v>
      </c>
      <c r="AE19" s="32" t="s">
        <v>362</v>
      </c>
      <c r="AF19" s="32" t="s">
        <v>363</v>
      </c>
      <c r="AG19" s="190" t="str">
        <f>P4</f>
        <v>13/06-21/06</v>
      </c>
      <c r="AH19" s="31"/>
      <c r="AI19" s="31"/>
      <c r="AJ19" s="31"/>
      <c r="AK19" s="31"/>
      <c r="AL19" s="31"/>
      <c r="AM19" s="518" t="s">
        <v>51</v>
      </c>
    </row>
    <row r="20" spans="1:39">
      <c r="A20" s="108" t="s">
        <v>93</v>
      </c>
      <c r="B20" s="3">
        <f>H6/G5*100</f>
        <v>25.677543316141382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/>
      <c r="R20" s="70"/>
      <c r="S20" s="70"/>
      <c r="T20" s="70"/>
      <c r="U20" s="70"/>
      <c r="V20" s="517"/>
      <c r="X20" s="71" t="s">
        <v>55</v>
      </c>
      <c r="Y20" s="77">
        <f>G6+G7</f>
        <v>1155.83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>
        <f>H9/G5*100</f>
        <v>57.893650271037842</v>
      </c>
      <c r="C21" s="109"/>
      <c r="D21" s="109"/>
      <c r="E21" s="109"/>
      <c r="F21" s="109"/>
      <c r="H21" s="105"/>
      <c r="J21" s="125"/>
      <c r="K21" s="73">
        <f>V21/5</f>
        <v>0</v>
      </c>
      <c r="L21" s="73">
        <f>K21</f>
        <v>0</v>
      </c>
      <c r="M21" s="73">
        <f>K21</f>
        <v>0</v>
      </c>
      <c r="N21" s="73">
        <f>M21</f>
        <v>0</v>
      </c>
      <c r="O21" s="73">
        <f>N21</f>
        <v>0</v>
      </c>
      <c r="P21" s="73"/>
      <c r="Q21" s="73"/>
      <c r="R21" s="73"/>
      <c r="S21" s="73"/>
      <c r="T21" s="73"/>
      <c r="U21" s="73"/>
      <c r="V21" s="74">
        <f>Y19</f>
        <v>0</v>
      </c>
      <c r="X21" s="520" t="s">
        <v>90</v>
      </c>
      <c r="Y21" s="520"/>
      <c r="AA21" s="72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126"/>
    </row>
    <row r="22" spans="1:39">
      <c r="A22" s="111" t="s">
        <v>95</v>
      </c>
      <c r="B22" s="2">
        <f>H14/G5*100</f>
        <v>16.428806412820759</v>
      </c>
      <c r="C22" s="109"/>
      <c r="D22" s="109"/>
      <c r="E22" s="109"/>
      <c r="F22" s="109"/>
      <c r="H22" s="105"/>
      <c r="J22" s="12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5">
        <f t="shared" ref="V22" si="1">K22+L22+M22+N22+O22+P22+U22+Q22+R22+S22+T22</f>
        <v>0</v>
      </c>
      <c r="X22" s="69" t="s">
        <v>52</v>
      </c>
      <c r="Y22" s="50">
        <f>AM21</f>
        <v>0</v>
      </c>
      <c r="AA22" s="72"/>
      <c r="AB22" s="75">
        <f>1267.2+40.62+39.6</f>
        <v>1347.4199999999998</v>
      </c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127">
        <f t="shared" ref="AM22" si="2">AB22+AC22+AD22+AE22+AF22+AG22+AL22+AH22+AI22+AJ22+AK22</f>
        <v>1347.4199999999998</v>
      </c>
    </row>
    <row r="23" spans="1:39">
      <c r="A23" s="84"/>
      <c r="H23" s="105"/>
      <c r="J23" s="84"/>
      <c r="X23" s="71" t="s">
        <v>55</v>
      </c>
      <c r="Y23" s="77">
        <f>AM22</f>
        <v>1347.4199999999998</v>
      </c>
      <c r="AM23" s="105"/>
    </row>
    <row r="24" spans="1:39">
      <c r="A24" s="84"/>
      <c r="H24" s="105"/>
      <c r="J24" s="84"/>
      <c r="V24" s="128"/>
      <c r="AM24" s="105"/>
    </row>
    <row r="25" spans="1:39" ht="27.75">
      <c r="A25" s="84"/>
      <c r="H25" s="105"/>
      <c r="J25" s="84"/>
      <c r="X25" s="10" t="s">
        <v>96</v>
      </c>
      <c r="Y25" s="145"/>
      <c r="AM25" s="105"/>
    </row>
    <row r="26" spans="1:39" ht="27.75">
      <c r="A26" s="84"/>
      <c r="H26" s="105"/>
      <c r="J26" s="84"/>
      <c r="X26" s="10" t="s">
        <v>97</v>
      </c>
      <c r="Y26" s="145">
        <f>G8</f>
        <v>1620</v>
      </c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23">
        <v>45082</v>
      </c>
      <c r="Y31" s="524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25"/>
      <c r="Y32" s="526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7" spans="9:9">
      <c r="I37" s="1"/>
    </row>
  </sheetData>
  <mergeCells count="20">
    <mergeCell ref="C1:AM1"/>
    <mergeCell ref="V4:V5"/>
    <mergeCell ref="AM4:AM5"/>
    <mergeCell ref="X6:Y6"/>
    <mergeCell ref="K18:U18"/>
    <mergeCell ref="X18:Y18"/>
    <mergeCell ref="AB18:AL18"/>
    <mergeCell ref="A2:H2"/>
    <mergeCell ref="J2:AM2"/>
    <mergeCell ref="C3:D3"/>
    <mergeCell ref="E3:F3"/>
    <mergeCell ref="G3:H3"/>
    <mergeCell ref="K3:U3"/>
    <mergeCell ref="X3:Y3"/>
    <mergeCell ref="AB3:AL3"/>
    <mergeCell ref="V19:V20"/>
    <mergeCell ref="AM19:AM20"/>
    <mergeCell ref="X21:Y21"/>
    <mergeCell ref="X30:Y30"/>
    <mergeCell ref="X31:Y32"/>
  </mergeCells>
  <pageMargins left="0.7" right="0.7" top="0.75" bottom="0.75" header="0.3" footer="0.3"/>
  <pageSetup paperSize="9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7088-0377-41BB-BDEB-885795C893B1}">
  <sheetPr>
    <pageSetUpPr fitToPage="1"/>
  </sheetPr>
  <dimension ref="A1:AO57"/>
  <sheetViews>
    <sheetView workbookViewId="0">
      <selection activeCell="B1" sqref="B1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2.7109375" customWidth="1" outlineLevel="1"/>
    <col min="6" max="6" width="10.140625" customWidth="1" outlineLevel="1"/>
    <col min="7" max="8" width="10.7109375" customWidth="1"/>
    <col min="9" max="9" width="3.28515625" customWidth="1"/>
    <col min="10" max="10" width="0.5703125" hidden="1" customWidth="1" outlineLevel="1"/>
    <col min="11" max="11" width="10.7109375" hidden="1" customWidth="1" outlineLevel="1" collapsed="1"/>
    <col min="12" max="15" width="10.7109375" hidden="1" customWidth="1" outlineLevel="1"/>
    <col min="16" max="21" width="9.140625" hidden="1" customWidth="1" outlineLevel="1"/>
    <col min="22" max="22" width="6.5703125" hidden="1" customWidth="1" outlineLevel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customWidth="1"/>
    <col min="32" max="38" width="12.7109375" hidden="1" customWidth="1" outlineLevel="1"/>
    <col min="39" max="39" width="12.7109375" customWidth="1" collapsed="1"/>
    <col min="40" max="40" width="12.7109375" customWidth="1"/>
  </cols>
  <sheetData>
    <row r="1" spans="1:41" ht="25.5">
      <c r="A1" s="237" t="s">
        <v>365</v>
      </c>
      <c r="B1" s="576" t="s">
        <v>366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</row>
    <row r="2" spans="1:41" ht="18.75">
      <c r="A2" s="555" t="s">
        <v>35</v>
      </c>
      <c r="B2" s="556"/>
      <c r="C2" s="556"/>
      <c r="D2" s="556"/>
      <c r="E2" s="556"/>
      <c r="F2" s="556"/>
      <c r="G2" s="556"/>
      <c r="H2" s="557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</row>
    <row r="3" spans="1:41" ht="15.75" customHeight="1">
      <c r="A3" s="84"/>
      <c r="C3" s="561" t="s">
        <v>367</v>
      </c>
      <c r="D3" s="562"/>
      <c r="E3" s="561" t="s">
        <v>351</v>
      </c>
      <c r="F3" s="562"/>
      <c r="G3" s="563" t="s">
        <v>39</v>
      </c>
      <c r="H3" s="564"/>
      <c r="J3" s="115" t="s">
        <v>40</v>
      </c>
      <c r="K3" s="533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41" ht="16.5" customHeight="1">
      <c r="A4" s="85" t="s">
        <v>43</v>
      </c>
      <c r="B4" s="5" t="s">
        <v>44</v>
      </c>
      <c r="C4" s="253">
        <f>(G4+Y11)/2</f>
        <v>40197.324999999997</v>
      </c>
      <c r="D4">
        <f>AB7</f>
        <v>216.5</v>
      </c>
      <c r="E4" s="253">
        <f>C4</f>
        <v>40197.324999999997</v>
      </c>
      <c r="F4" s="11"/>
      <c r="G4" s="79">
        <f>Y10+Y11</f>
        <v>75865.89</v>
      </c>
      <c r="H4" s="86"/>
      <c r="J4" s="118" t="s">
        <v>45</v>
      </c>
      <c r="K4" s="31" t="s">
        <v>368</v>
      </c>
      <c r="L4" s="32" t="s">
        <v>369</v>
      </c>
      <c r="M4" s="31" t="s">
        <v>370</v>
      </c>
      <c r="N4" s="32" t="s">
        <v>371</v>
      </c>
      <c r="O4" s="32"/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V6</f>
        <v>1</v>
      </c>
      <c r="Z4" s="116"/>
      <c r="AA4" s="30" t="s">
        <v>45</v>
      </c>
      <c r="AB4" s="31" t="s">
        <v>368</v>
      </c>
      <c r="AC4" s="32" t="s">
        <v>369</v>
      </c>
      <c r="AD4" s="31" t="s">
        <v>370</v>
      </c>
      <c r="AE4" s="32" t="s">
        <v>372</v>
      </c>
      <c r="AF4" s="32" t="s">
        <v>373</v>
      </c>
      <c r="AG4" s="32"/>
      <c r="AH4" s="32"/>
      <c r="AI4" s="32"/>
      <c r="AJ4" s="32"/>
      <c r="AK4" s="32"/>
      <c r="AL4" s="32"/>
      <c r="AM4" s="529" t="s">
        <v>51</v>
      </c>
    </row>
    <row r="5" spans="1:41">
      <c r="A5" s="85" t="s">
        <v>53</v>
      </c>
      <c r="B5" s="5" t="s">
        <v>54</v>
      </c>
      <c r="C5" s="192">
        <f>C6+C7+C8+C9+C10+C11+C13+C14+C16+C15+C12</f>
        <v>27147.639613040799</v>
      </c>
      <c r="D5" s="5"/>
      <c r="E5" s="192">
        <f>E6+E7+E8+E9+E10+E11+E13+E14+E16+E15+E12</f>
        <v>19855.086637068001</v>
      </c>
      <c r="F5" s="12"/>
      <c r="G5" s="8">
        <f>G6+G7+G8+G9+G10+G11+G13+G14+G16+G15+G12+G17</f>
        <v>47002.726250108804</v>
      </c>
      <c r="H5" s="87"/>
      <c r="J5" s="119"/>
      <c r="K5" s="80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V7+V8</f>
        <v>1.0634839108329701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41">
      <c r="A6" s="88" t="s">
        <v>56</v>
      </c>
      <c r="B6" s="81" t="s">
        <v>57</v>
      </c>
      <c r="C6" s="134">
        <f>526.15+2859.92-1205.15+1152+149.34+194.99+22.38+430.17+109.01+24.74+165.97+36.24+227.14+186.29+241.17+171.82+225.36+34.53+118.83+61.9+79.72+33.27+232.35+24.75+381.3</f>
        <v>6484.1900000000005</v>
      </c>
      <c r="D6" s="13">
        <f>C6+C7+C8</f>
        <v>6954.1900000000005</v>
      </c>
      <c r="E6" s="13">
        <f>660.53+163.37+88.48+32.88+207.39+66.45+412.38+62.32+81.19+32.95+100.91+176.91+136.27+161.23+109.4+50.02+26.81+191.59+22.76+27.66+11.51+460.92+127.15+64.55+7.95+59.28+23.35+40.74+338.83</f>
        <v>3945.7800000000007</v>
      </c>
      <c r="F6" s="156">
        <f>E6+E7+E8</f>
        <v>4525.7800000000007</v>
      </c>
      <c r="G6" s="9">
        <f>C6+E6</f>
        <v>10429.970000000001</v>
      </c>
      <c r="H6" s="90">
        <f>G6+G7+G8</f>
        <v>11479.970000000001</v>
      </c>
      <c r="J6" s="120"/>
      <c r="K6" s="39">
        <v>0.25</v>
      </c>
      <c r="L6" s="40">
        <v>0.5</v>
      </c>
      <c r="M6" s="40">
        <v>0.75</v>
      </c>
      <c r="N6" s="40">
        <v>1</v>
      </c>
      <c r="O6" s="40"/>
      <c r="P6" s="40"/>
      <c r="Q6" s="40"/>
      <c r="R6" s="40"/>
      <c r="S6" s="40"/>
      <c r="T6" s="40"/>
      <c r="U6" s="41"/>
      <c r="V6" s="40">
        <f>N6</f>
        <v>1</v>
      </c>
      <c r="X6" s="531" t="s">
        <v>58</v>
      </c>
      <c r="Y6" s="532"/>
      <c r="AA6" s="42"/>
      <c r="AB6" s="43">
        <f>AM6/4</f>
        <v>225.20500000000001</v>
      </c>
      <c r="AC6" s="43">
        <f>AB6</f>
        <v>225.20500000000001</v>
      </c>
      <c r="AD6" s="43">
        <f>AB6</f>
        <v>225.20500000000001</v>
      </c>
      <c r="AE6" s="43">
        <f>AD6</f>
        <v>225.20500000000001</v>
      </c>
      <c r="AF6" s="43"/>
      <c r="AG6" s="43"/>
      <c r="AH6" s="44"/>
      <c r="AI6" s="44"/>
      <c r="AJ6" s="44"/>
      <c r="AK6" s="44"/>
      <c r="AL6" s="44"/>
      <c r="AM6" s="121">
        <v>900.82</v>
      </c>
    </row>
    <row r="7" spans="1:41">
      <c r="A7" s="91" t="s">
        <v>59</v>
      </c>
      <c r="B7" s="92" t="s">
        <v>60</v>
      </c>
      <c r="C7" s="134">
        <f>350+120</f>
        <v>470</v>
      </c>
      <c r="D7" s="13"/>
      <c r="E7" s="156">
        <f>110+100+190+180</f>
        <v>580</v>
      </c>
      <c r="F7" s="13"/>
      <c r="G7" s="9">
        <f t="shared" ref="G7:G16" si="0">C7+E7</f>
        <v>1050</v>
      </c>
      <c r="H7" s="90"/>
      <c r="J7" s="122"/>
      <c r="K7" s="45"/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v>1</v>
      </c>
      <c r="X7" s="49" t="s">
        <v>52</v>
      </c>
      <c r="Y7" s="50">
        <f>AM6/Y13</f>
        <v>4.7753392705682787</v>
      </c>
      <c r="AA7" s="51"/>
      <c r="AB7" s="52">
        <v>216.5</v>
      </c>
      <c r="AC7" s="53">
        <v>334.5</v>
      </c>
      <c r="AD7" s="53">
        <v>277.5</v>
      </c>
      <c r="AE7" s="53">
        <v>109.5</v>
      </c>
      <c r="AF7" s="53"/>
      <c r="AG7" s="53"/>
      <c r="AH7" s="54"/>
      <c r="AI7" s="54"/>
      <c r="AJ7" s="54"/>
      <c r="AK7" s="54"/>
      <c r="AL7" s="54"/>
      <c r="AM7" s="164">
        <f t="shared" ref="AM7" si="1">AB7+AC7+AD7+AE7+AF7+AG7+AL7+AH7+AI7+AJ7+AK7</f>
        <v>938</v>
      </c>
    </row>
    <row r="8" spans="1:41">
      <c r="A8" s="93" t="s">
        <v>61</v>
      </c>
      <c r="B8" s="82" t="s">
        <v>62</v>
      </c>
      <c r="C8" s="155"/>
      <c r="D8" s="14"/>
      <c r="E8" s="157"/>
      <c r="F8" s="14"/>
      <c r="G8" s="9">
        <f t="shared" si="0"/>
        <v>0</v>
      </c>
      <c r="H8" s="95"/>
      <c r="J8" s="124"/>
      <c r="K8" s="55"/>
      <c r="L8" s="55"/>
      <c r="M8" s="55"/>
      <c r="N8" s="56">
        <f>Y11/Y10</f>
        <v>6.3483910832970156E-2</v>
      </c>
      <c r="O8" s="57"/>
      <c r="P8" s="56"/>
      <c r="Q8" s="58"/>
      <c r="R8" s="58"/>
      <c r="S8" s="58"/>
      <c r="T8" s="58"/>
      <c r="U8" s="58"/>
      <c r="V8" s="56">
        <f>SUM(K8:U8)</f>
        <v>6.3483910832970156E-2</v>
      </c>
      <c r="X8" s="59" t="s">
        <v>55</v>
      </c>
      <c r="Y8" s="77">
        <f>AM7/Y13</f>
        <v>4.9724342663273964</v>
      </c>
      <c r="AM8" s="105"/>
      <c r="AO8" s="1"/>
    </row>
    <row r="9" spans="1:41">
      <c r="A9" s="88" t="s">
        <v>63</v>
      </c>
      <c r="B9" s="81" t="s">
        <v>64</v>
      </c>
      <c r="C9" s="138">
        <f>((112.5*15.5+107.5*14.5+99.5*13+100*13.5+107.5*13.6+666.67)-C13)*1.42</f>
        <v>6254.6314000000002</v>
      </c>
      <c r="D9" s="151">
        <f>C9+C10+C11+C13+C12</f>
        <v>14832.3196130408</v>
      </c>
      <c r="E9" s="354">
        <f>((87.5*15.5+3*7.75+75*13+2*6.5+14.5*73.5+2*7.25+76*13.5+2*6.75+74*13.5+2*6.75)-E13+65.7+234)*1.42</f>
        <v>4401.2189999999991</v>
      </c>
      <c r="F9" s="137">
        <f>E9+E10+E11+E13+E12</f>
        <v>11388.436637068</v>
      </c>
      <c r="G9" s="24">
        <f t="shared" si="0"/>
        <v>10655.850399999999</v>
      </c>
      <c r="H9" s="96">
        <f>G9+G10+G11+G13+G12</f>
        <v>26220.756250108803</v>
      </c>
      <c r="J9" s="84"/>
      <c r="AM9" s="105"/>
    </row>
    <row r="10" spans="1:41">
      <c r="A10" s="91" t="s">
        <v>65</v>
      </c>
      <c r="B10" s="92" t="s">
        <v>66</v>
      </c>
      <c r="C10" s="134">
        <f>C9*0.2359</f>
        <v>1475.4675472599999</v>
      </c>
      <c r="D10" s="13"/>
      <c r="E10" s="355">
        <f>E9*0.2359</f>
        <v>1038.2475620999999</v>
      </c>
      <c r="F10" s="89"/>
      <c r="G10" s="25">
        <f t="shared" si="0"/>
        <v>2513.7151093599996</v>
      </c>
      <c r="H10" s="95"/>
      <c r="J10" s="84"/>
      <c r="X10" s="10" t="s">
        <v>67</v>
      </c>
      <c r="Y10" s="61">
        <f>D40</f>
        <v>71337.13</v>
      </c>
      <c r="AM10" s="105"/>
    </row>
    <row r="11" spans="1:41">
      <c r="A11" s="91" t="s">
        <v>68</v>
      </c>
      <c r="B11" s="92" t="s">
        <v>69</v>
      </c>
      <c r="C11" s="134">
        <f>(C9+C10)*0.08</f>
        <v>618.40791578080007</v>
      </c>
      <c r="D11" s="13"/>
      <c r="E11" s="355">
        <f>(E9+E10)*0.08</f>
        <v>435.1573249679999</v>
      </c>
      <c r="F11" s="89"/>
      <c r="G11" s="25">
        <f t="shared" si="0"/>
        <v>1053.5652407488001</v>
      </c>
      <c r="H11" s="95"/>
      <c r="J11" s="84"/>
      <c r="X11" s="62" t="s">
        <v>70</v>
      </c>
      <c r="Y11" s="63">
        <f>3100+2028.76-600</f>
        <v>4528.76</v>
      </c>
      <c r="AM11" s="105"/>
    </row>
    <row r="12" spans="1:41">
      <c r="A12" s="97" t="s">
        <v>71</v>
      </c>
      <c r="B12" s="98" t="s">
        <v>72</v>
      </c>
      <c r="C12" s="135">
        <f>(C4)*0.07</f>
        <v>2813.8127500000001</v>
      </c>
      <c r="D12" s="142"/>
      <c r="E12" s="355">
        <f>(E4)*0.07</f>
        <v>2813.8127500000001</v>
      </c>
      <c r="F12" s="131"/>
      <c r="G12" s="25">
        <f t="shared" si="0"/>
        <v>5627.6255000000001</v>
      </c>
      <c r="H12" s="95"/>
      <c r="J12" s="84"/>
      <c r="AM12" s="105"/>
    </row>
    <row r="13" spans="1:41">
      <c r="A13" s="91" t="s">
        <v>73</v>
      </c>
      <c r="B13" s="92" t="s">
        <v>74</v>
      </c>
      <c r="C13" s="139">
        <v>3670</v>
      </c>
      <c r="D13" s="143"/>
      <c r="E13" s="356">
        <f>6*9*50</f>
        <v>2700</v>
      </c>
      <c r="F13" s="133"/>
      <c r="G13" s="26">
        <f t="shared" si="0"/>
        <v>6370</v>
      </c>
      <c r="H13" s="99"/>
      <c r="J13" s="84"/>
      <c r="X13" s="64" t="s">
        <v>75</v>
      </c>
      <c r="Y13" s="65">
        <f>79.61+109.03</f>
        <v>188.64</v>
      </c>
      <c r="AM13" s="105"/>
    </row>
    <row r="14" spans="1:41">
      <c r="A14" s="100" t="s">
        <v>76</v>
      </c>
      <c r="B14" s="81" t="s">
        <v>77</v>
      </c>
      <c r="C14" s="134">
        <v>3373.28</v>
      </c>
      <c r="D14" s="13">
        <f>C14+C16+C15</f>
        <v>5361.13</v>
      </c>
      <c r="E14" s="355">
        <f>662+310.1</f>
        <v>972.1</v>
      </c>
      <c r="F14" s="13">
        <f>E14+E16+E15</f>
        <v>3940.8700000000003</v>
      </c>
      <c r="G14" s="9">
        <f t="shared" si="0"/>
        <v>4345.38</v>
      </c>
      <c r="H14" s="95">
        <f>G14+G16+G15+G17</f>
        <v>9302</v>
      </c>
      <c r="J14" s="84"/>
      <c r="X14" s="66" t="s">
        <v>78</v>
      </c>
      <c r="Y14" s="66" t="s">
        <v>79</v>
      </c>
      <c r="AM14" s="105"/>
    </row>
    <row r="15" spans="1:41">
      <c r="A15" s="101" t="s">
        <v>80</v>
      </c>
      <c r="B15" s="92" t="s">
        <v>81</v>
      </c>
      <c r="C15" s="134">
        <f>365.97+471.6+12.88+25.77+191.18+139.42+121.75+118.12+138.84+5</f>
        <v>1590.53</v>
      </c>
      <c r="D15" s="13"/>
      <c r="E15" s="358">
        <f>456.8+400.37+451.38+19.3+19.36+690.5+536.8</f>
        <v>2574.5100000000002</v>
      </c>
      <c r="F15" s="13"/>
      <c r="G15" s="9">
        <f t="shared" si="0"/>
        <v>4165.04</v>
      </c>
      <c r="H15" s="95"/>
      <c r="J15" s="84"/>
      <c r="X15" s="67" t="s">
        <v>82</v>
      </c>
      <c r="Y15" s="68">
        <v>13</v>
      </c>
      <c r="AM15" s="105"/>
    </row>
    <row r="16" spans="1:41">
      <c r="A16" s="91" t="s">
        <v>83</v>
      </c>
      <c r="B16" s="92" t="s">
        <v>84</v>
      </c>
      <c r="C16" s="19">
        <f>205+115.03+21.27+39.33+10.07+6.62</f>
        <v>397.31999999999994</v>
      </c>
      <c r="D16" s="13"/>
      <c r="E16" s="358">
        <f>125+57.99+22.61+0.8+99.82+55.6+28.54+3.9</f>
        <v>394.26000000000005</v>
      </c>
      <c r="F16" s="13"/>
      <c r="G16" s="9">
        <f t="shared" si="0"/>
        <v>791.57999999999993</v>
      </c>
      <c r="H16" s="95"/>
      <c r="J16" s="84"/>
      <c r="X16" s="67" t="s">
        <v>85</v>
      </c>
      <c r="Y16" s="68">
        <v>12</v>
      </c>
      <c r="AM16" s="105"/>
    </row>
    <row r="17" spans="1:39">
      <c r="A17" s="91"/>
      <c r="B17" s="92"/>
      <c r="C17" s="19"/>
      <c r="D17" s="13"/>
      <c r="E17" s="13"/>
      <c r="F17" s="13"/>
      <c r="G17" s="9"/>
      <c r="H17" s="95"/>
      <c r="J17" s="84"/>
      <c r="X17" s="202"/>
      <c r="Y17" s="203"/>
      <c r="AM17" s="105"/>
    </row>
    <row r="18" spans="1:39">
      <c r="A18" s="85" t="s">
        <v>86</v>
      </c>
      <c r="B18" s="5" t="s">
        <v>87</v>
      </c>
      <c r="C18" s="185">
        <f>C4-C5</f>
        <v>13049.685386959198</v>
      </c>
      <c r="D18" s="129">
        <f>C18/C4</f>
        <v>0.32464064180786156</v>
      </c>
      <c r="E18" s="332">
        <f>E4-E5</f>
        <v>20342.238362931996</v>
      </c>
      <c r="F18" s="130">
        <f>E18/E4</f>
        <v>0.50605950428124258</v>
      </c>
      <c r="G18" s="16">
        <f>G4-G5</f>
        <v>28863.163749891195</v>
      </c>
      <c r="H18" s="102">
        <f>G18/G4</f>
        <v>0.38044981413770002</v>
      </c>
      <c r="J18" s="84"/>
      <c r="AM18" s="105"/>
    </row>
    <row r="19" spans="1:39" ht="20.25" customHeight="1">
      <c r="A19" s="103"/>
      <c r="B19" s="104"/>
      <c r="C19" s="104"/>
      <c r="D19" s="104"/>
      <c r="E19" s="104"/>
      <c r="F19" s="104"/>
      <c r="H19" s="105"/>
      <c r="J19" s="115" t="s">
        <v>40</v>
      </c>
      <c r="K19" s="533" t="s">
        <v>88</v>
      </c>
      <c r="L19" s="534"/>
      <c r="M19" s="534"/>
      <c r="N19" s="534"/>
      <c r="O19" s="534"/>
      <c r="P19" s="534"/>
      <c r="Q19" s="534"/>
      <c r="R19" s="534"/>
      <c r="S19" s="534"/>
      <c r="T19" s="534"/>
      <c r="U19" s="535"/>
      <c r="V19" s="29"/>
      <c r="X19" s="520" t="s">
        <v>89</v>
      </c>
      <c r="Y19" s="520"/>
      <c r="AA19" s="27" t="s">
        <v>40</v>
      </c>
      <c r="AB19" s="533" t="s">
        <v>90</v>
      </c>
      <c r="AC19" s="534"/>
      <c r="AD19" s="534"/>
      <c r="AE19" s="534"/>
      <c r="AF19" s="534"/>
      <c r="AG19" s="534"/>
      <c r="AH19" s="534"/>
      <c r="AI19" s="534"/>
      <c r="AJ19" s="534"/>
      <c r="AK19" s="534"/>
      <c r="AL19" s="535"/>
      <c r="AM19" s="117"/>
    </row>
    <row r="20" spans="1:39" ht="24" customHeight="1">
      <c r="A20" s="106" t="s">
        <v>91</v>
      </c>
      <c r="B20" s="4" t="s">
        <v>92</v>
      </c>
      <c r="C20" s="107"/>
      <c r="D20" s="107"/>
      <c r="E20" s="107"/>
      <c r="F20" s="107"/>
      <c r="H20" s="105"/>
      <c r="J20" s="118" t="s">
        <v>45</v>
      </c>
      <c r="K20" s="31" t="s">
        <v>368</v>
      </c>
      <c r="L20" s="32" t="s">
        <v>369</v>
      </c>
      <c r="M20" s="31" t="s">
        <v>370</v>
      </c>
      <c r="N20" s="32" t="s">
        <v>371</v>
      </c>
      <c r="O20" s="32"/>
      <c r="P20" s="32"/>
      <c r="Q20" s="31"/>
      <c r="R20" s="31"/>
      <c r="S20" s="31"/>
      <c r="T20" s="31"/>
      <c r="U20" s="31"/>
      <c r="V20" s="516" t="s">
        <v>51</v>
      </c>
      <c r="X20" s="69" t="s">
        <v>52</v>
      </c>
      <c r="Y20" s="50">
        <v>8527</v>
      </c>
      <c r="AA20" s="30" t="s">
        <v>45</v>
      </c>
      <c r="AB20" s="31" t="s">
        <v>368</v>
      </c>
      <c r="AC20" s="32" t="s">
        <v>369</v>
      </c>
      <c r="AD20" s="31" t="s">
        <v>370</v>
      </c>
      <c r="AE20" s="32" t="s">
        <v>371</v>
      </c>
      <c r="AF20" s="32" t="str">
        <f>AF4</f>
        <v>15/05-21/05</v>
      </c>
      <c r="AG20" s="32"/>
      <c r="AH20" s="31"/>
      <c r="AI20" s="31"/>
      <c r="AJ20" s="31"/>
      <c r="AK20" s="31"/>
      <c r="AL20" s="31"/>
      <c r="AM20" s="518" t="s">
        <v>51</v>
      </c>
    </row>
    <row r="21" spans="1:39">
      <c r="A21" s="108" t="s">
        <v>93</v>
      </c>
      <c r="B21" s="3">
        <f>H6/G5*100</f>
        <v>24.424051360155786</v>
      </c>
      <c r="C21" s="109"/>
      <c r="D21" s="109"/>
      <c r="E21" s="109"/>
      <c r="F21" s="109"/>
      <c r="H21" s="105"/>
      <c r="J21" s="118"/>
      <c r="K21" s="70">
        <v>1</v>
      </c>
      <c r="L21" s="70">
        <v>2</v>
      </c>
      <c r="M21" s="70">
        <v>3</v>
      </c>
      <c r="N21" s="70">
        <v>4</v>
      </c>
      <c r="O21" s="70">
        <v>5</v>
      </c>
      <c r="P21" s="70">
        <v>6</v>
      </c>
      <c r="Q21" s="70"/>
      <c r="R21" s="70"/>
      <c r="S21" s="70"/>
      <c r="T21" s="70"/>
      <c r="U21" s="70"/>
      <c r="V21" s="517"/>
      <c r="X21" s="71" t="s">
        <v>55</v>
      </c>
      <c r="Y21" s="77">
        <f>G6</f>
        <v>10429.970000000001</v>
      </c>
      <c r="AA21" s="30"/>
      <c r="AB21" s="70">
        <v>1</v>
      </c>
      <c r="AC21" s="70">
        <v>2</v>
      </c>
      <c r="AD21" s="70">
        <v>3</v>
      </c>
      <c r="AE21" s="70">
        <v>4</v>
      </c>
      <c r="AF21" s="70">
        <v>5</v>
      </c>
      <c r="AG21" s="70">
        <v>6</v>
      </c>
      <c r="AH21" s="70">
        <v>7</v>
      </c>
      <c r="AI21" s="70">
        <v>8</v>
      </c>
      <c r="AJ21" s="70">
        <v>9</v>
      </c>
      <c r="AK21" s="70">
        <v>10</v>
      </c>
      <c r="AL21" s="70">
        <v>11</v>
      </c>
      <c r="AM21" s="519"/>
    </row>
    <row r="22" spans="1:39">
      <c r="A22" s="110" t="s">
        <v>94</v>
      </c>
      <c r="B22" s="3">
        <f>H9/G5*100</f>
        <v>55.785607223257841</v>
      </c>
      <c r="C22" s="109"/>
      <c r="D22" s="109"/>
      <c r="E22" s="109"/>
      <c r="F22" s="109"/>
      <c r="H22" s="105"/>
      <c r="J22" s="125"/>
      <c r="K22" s="73">
        <f>V22/4</f>
        <v>2131.75</v>
      </c>
      <c r="L22" s="73">
        <f>K22</f>
        <v>2131.75</v>
      </c>
      <c r="M22" s="73">
        <f>K22</f>
        <v>2131.75</v>
      </c>
      <c r="N22" s="73">
        <f>M22</f>
        <v>2131.75</v>
      </c>
      <c r="O22" s="73"/>
      <c r="P22" s="73"/>
      <c r="Q22" s="73"/>
      <c r="R22" s="73"/>
      <c r="S22" s="73"/>
      <c r="T22" s="73"/>
      <c r="U22" s="73"/>
      <c r="V22" s="74">
        <f>Y20</f>
        <v>8527</v>
      </c>
      <c r="X22" s="520" t="s">
        <v>90</v>
      </c>
      <c r="Y22" s="520"/>
      <c r="AA22" s="72"/>
      <c r="AB22" s="73">
        <f>AM22/4</f>
        <v>2750</v>
      </c>
      <c r="AC22" s="73">
        <f>AB22</f>
        <v>2750</v>
      </c>
      <c r="AD22" s="73">
        <f>AB22</f>
        <v>2750</v>
      </c>
      <c r="AE22" s="73">
        <f>AD22</f>
        <v>2750</v>
      </c>
      <c r="AF22" s="73"/>
      <c r="AG22" s="73"/>
      <c r="AH22" s="73"/>
      <c r="AI22" s="73"/>
      <c r="AJ22" s="73"/>
      <c r="AK22" s="73"/>
      <c r="AL22" s="73"/>
      <c r="AM22" s="126">
        <f>Y23</f>
        <v>11000</v>
      </c>
    </row>
    <row r="23" spans="1:39">
      <c r="A23" s="111" t="s">
        <v>95</v>
      </c>
      <c r="B23" s="2">
        <f>H14/G5*100</f>
        <v>19.790341416586376</v>
      </c>
      <c r="C23" s="109"/>
      <c r="D23" s="109"/>
      <c r="E23" s="109"/>
      <c r="F23" s="109"/>
      <c r="H23" s="105"/>
      <c r="J23" s="125"/>
      <c r="K23" s="75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163">
        <f t="shared" ref="V23" si="2">K23+L23+M23+N23+O23+P23+U23+Q23+R23+S23+T23</f>
        <v>0</v>
      </c>
      <c r="X23" s="69" t="s">
        <v>52</v>
      </c>
      <c r="Y23" s="50">
        <v>11000</v>
      </c>
      <c r="AA23" s="72"/>
      <c r="AB23" s="75">
        <f>3373.28+365.97+471.6+191.18+121.75+118.12+138.84+5</f>
        <v>4785.7400000000007</v>
      </c>
      <c r="AC23" s="76">
        <v>139.41999999999999</v>
      </c>
      <c r="AD23" s="76"/>
      <c r="AE23" s="76">
        <f>310.1+662+456.8+400.37+451.38</f>
        <v>2280.65</v>
      </c>
      <c r="AF23" s="76"/>
      <c r="AG23" s="76"/>
      <c r="AH23" s="76"/>
      <c r="AI23" s="76"/>
      <c r="AJ23" s="76"/>
      <c r="AK23" s="76"/>
      <c r="AL23" s="76"/>
      <c r="AM23" s="165">
        <f t="shared" ref="AM23" si="3">AB23+AC23+AD23+AE23+AF23+AG23+AL23+AH23+AI23+AJ23+AK23</f>
        <v>7205.8100000000013</v>
      </c>
    </row>
    <row r="24" spans="1:39">
      <c r="A24" s="84"/>
      <c r="H24" s="105"/>
      <c r="J24" s="84"/>
      <c r="X24" s="71" t="s">
        <v>55</v>
      </c>
      <c r="Y24" s="77">
        <f>AM23</f>
        <v>7205.8100000000013</v>
      </c>
      <c r="AM24" s="105"/>
    </row>
    <row r="25" spans="1:39">
      <c r="A25" s="84"/>
      <c r="H25" s="105"/>
      <c r="J25" s="84"/>
      <c r="V25" s="128"/>
      <c r="AM25" s="105"/>
    </row>
    <row r="26" spans="1:39" ht="26.25" customHeight="1">
      <c r="A26" s="84"/>
      <c r="H26" s="105"/>
      <c r="J26" s="84"/>
      <c r="X26" s="10" t="s">
        <v>96</v>
      </c>
      <c r="Y26" s="145"/>
      <c r="AM26" s="105"/>
    </row>
    <row r="27" spans="1:39" ht="27.75">
      <c r="A27" s="84"/>
      <c r="H27" s="105"/>
      <c r="J27" s="84"/>
      <c r="X27" s="10" t="s">
        <v>97</v>
      </c>
      <c r="Y27" s="145">
        <f>G8</f>
        <v>0</v>
      </c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AM30" s="105"/>
    </row>
    <row r="31" spans="1:39">
      <c r="A31" s="84"/>
      <c r="H31" s="105"/>
      <c r="J31" s="84"/>
      <c r="X31" s="521" t="s">
        <v>98</v>
      </c>
      <c r="Y31" s="522"/>
      <c r="AM31" s="105"/>
    </row>
    <row r="32" spans="1:39">
      <c r="A32" s="84"/>
      <c r="H32" s="105"/>
      <c r="J32" s="84"/>
      <c r="X32" s="523">
        <v>45082</v>
      </c>
      <c r="Y32" s="524"/>
      <c r="AM32" s="105"/>
    </row>
    <row r="33" spans="1:39">
      <c r="A33" s="112"/>
      <c r="B33" s="113"/>
      <c r="C33" s="113"/>
      <c r="D33" s="113"/>
      <c r="E33" s="113"/>
      <c r="F33" s="113"/>
      <c r="G33" s="113"/>
      <c r="H33" s="114"/>
      <c r="J33" s="112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525"/>
      <c r="Y33" s="526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4"/>
    </row>
    <row r="37" spans="1:39">
      <c r="C37" t="s">
        <v>374</v>
      </c>
      <c r="D37" t="s">
        <v>375</v>
      </c>
      <c r="E37" t="s">
        <v>376</v>
      </c>
      <c r="F37" t="s">
        <v>377</v>
      </c>
      <c r="G37" t="s">
        <v>378</v>
      </c>
      <c r="H37" t="s">
        <v>379</v>
      </c>
      <c r="K37" t="s">
        <v>380</v>
      </c>
      <c r="L37" t="s">
        <v>381</v>
      </c>
    </row>
    <row r="38" spans="1:39">
      <c r="B38" t="s">
        <v>382</v>
      </c>
      <c r="C38">
        <v>345000</v>
      </c>
      <c r="D38">
        <f>ROUND(C38/11.3265,2)</f>
        <v>30459.54</v>
      </c>
      <c r="E38">
        <f>C38*0.3</f>
        <v>103500</v>
      </c>
      <c r="F38">
        <f>ROUND(E38/11.3265,2)</f>
        <v>9137.86</v>
      </c>
      <c r="G38">
        <f>C38*0.6</f>
        <v>207000</v>
      </c>
      <c r="H38">
        <f>ROUND(G38/11.3265,2)</f>
        <v>18275.73</v>
      </c>
      <c r="K38" s="1">
        <f>C38*0.1</f>
        <v>34500</v>
      </c>
      <c r="L38">
        <f>ROUND(K38/11.3265,2)</f>
        <v>3045.95</v>
      </c>
      <c r="M38" s="1">
        <f>E38+G38+K38</f>
        <v>345000</v>
      </c>
      <c r="N38">
        <f>F38+H38+L38</f>
        <v>30459.54</v>
      </c>
    </row>
    <row r="39" spans="1:39">
      <c r="B39" t="s">
        <v>150</v>
      </c>
      <c r="C39">
        <v>463000</v>
      </c>
      <c r="D39">
        <f>ROUND(C39/11.3265,2)</f>
        <v>40877.589999999997</v>
      </c>
      <c r="E39">
        <f>C39*0.3</f>
        <v>138900</v>
      </c>
      <c r="F39">
        <f>ROUND(E39/11.3265,2)</f>
        <v>12263.28</v>
      </c>
      <c r="G39">
        <f>C39*0.6</f>
        <v>277800</v>
      </c>
      <c r="H39">
        <f>ROUND(G39/11.3265,2)</f>
        <v>24526.55</v>
      </c>
      <c r="K39">
        <f>C39*0.1</f>
        <v>46300</v>
      </c>
      <c r="L39">
        <f>ROUND(K39/11.3265,2)</f>
        <v>4087.76</v>
      </c>
      <c r="M39" s="1">
        <f>E39+G39+K39</f>
        <v>463000</v>
      </c>
      <c r="N39">
        <f>F39+H39+L39</f>
        <v>40877.590000000004</v>
      </c>
    </row>
    <row r="40" spans="1:39">
      <c r="C40">
        <f>C39+C38</f>
        <v>808000</v>
      </c>
      <c r="D40">
        <f t="shared" ref="D40:N40" si="4">D39+D38</f>
        <v>71337.13</v>
      </c>
      <c r="E40">
        <f t="shared" si="4"/>
        <v>242400</v>
      </c>
      <c r="F40">
        <f t="shared" si="4"/>
        <v>21401.14</v>
      </c>
      <c r="G40">
        <f t="shared" si="4"/>
        <v>484800</v>
      </c>
      <c r="H40">
        <f t="shared" si="4"/>
        <v>42802.28</v>
      </c>
      <c r="J40">
        <f t="shared" si="4"/>
        <v>0</v>
      </c>
      <c r="K40">
        <f t="shared" si="4"/>
        <v>80800</v>
      </c>
      <c r="L40">
        <f t="shared" si="4"/>
        <v>7133.71</v>
      </c>
      <c r="M40">
        <f t="shared" si="4"/>
        <v>808000</v>
      </c>
      <c r="N40">
        <f t="shared" si="4"/>
        <v>71337.13</v>
      </c>
    </row>
    <row r="44" spans="1:39" ht="45.75">
      <c r="B44" s="448" t="s">
        <v>383</v>
      </c>
      <c r="C44" s="449" t="s">
        <v>382</v>
      </c>
      <c r="D44" s="449" t="s">
        <v>150</v>
      </c>
      <c r="E44" s="450" t="s">
        <v>384</v>
      </c>
      <c r="F44" t="s">
        <v>385</v>
      </c>
    </row>
    <row r="45" spans="1:39">
      <c r="B45" s="440" t="s">
        <v>386</v>
      </c>
      <c r="C45" s="226">
        <v>9137.86</v>
      </c>
      <c r="D45" s="226">
        <v>12263.28</v>
      </c>
      <c r="E45" s="226">
        <f>D45+C45</f>
        <v>21401.14</v>
      </c>
      <c r="F45" t="s">
        <v>387</v>
      </c>
    </row>
    <row r="46" spans="1:39">
      <c r="B46" s="440" t="s">
        <v>388</v>
      </c>
      <c r="C46" s="226">
        <v>18275.73</v>
      </c>
      <c r="D46" s="226">
        <v>24526.55</v>
      </c>
      <c r="E46" s="226">
        <f t="shared" ref="E46:E50" si="5">D46+C46</f>
        <v>42802.28</v>
      </c>
      <c r="F46" t="s">
        <v>389</v>
      </c>
    </row>
    <row r="47" spans="1:39">
      <c r="B47" s="440" t="s">
        <v>390</v>
      </c>
      <c r="C47" s="226">
        <f>12183.81-C45</f>
        <v>3045.9499999999989</v>
      </c>
      <c r="D47" s="226">
        <f>16351.04-D45</f>
        <v>4087.76</v>
      </c>
      <c r="E47" s="226">
        <f t="shared" si="5"/>
        <v>7133.7099999999991</v>
      </c>
      <c r="F47" t="s">
        <v>391</v>
      </c>
    </row>
    <row r="48" spans="1:39">
      <c r="B48" s="440" t="s">
        <v>392</v>
      </c>
      <c r="C48" s="171">
        <f>SUM(C45:C47)</f>
        <v>30459.54</v>
      </c>
      <c r="D48" s="171">
        <f t="shared" ref="D48:E48" si="6">SUM(D45:D47)</f>
        <v>40877.590000000004</v>
      </c>
      <c r="E48" s="171">
        <f t="shared" si="6"/>
        <v>71337.13</v>
      </c>
      <c r="F48" s="447"/>
    </row>
    <row r="49" spans="1:6" ht="45.75">
      <c r="B49" s="440" t="s">
        <v>393</v>
      </c>
      <c r="C49" s="449" t="s">
        <v>382</v>
      </c>
      <c r="D49" s="449" t="s">
        <v>150</v>
      </c>
      <c r="E49" s="450" t="s">
        <v>384</v>
      </c>
    </row>
    <row r="50" spans="1:6">
      <c r="B50" s="440" t="s">
        <v>394</v>
      </c>
      <c r="C50" s="226">
        <v>3100</v>
      </c>
      <c r="D50" s="226">
        <v>1428.76</v>
      </c>
      <c r="E50" s="226">
        <f t="shared" si="5"/>
        <v>4528.76</v>
      </c>
      <c r="F50" s="451">
        <v>44963</v>
      </c>
    </row>
    <row r="54" spans="1:6">
      <c r="B54" s="447" t="s">
        <v>395</v>
      </c>
      <c r="C54" t="s">
        <v>396</v>
      </c>
      <c r="D54" t="s">
        <v>397</v>
      </c>
      <c r="E54" t="s">
        <v>390</v>
      </c>
      <c r="F54" t="s">
        <v>398</v>
      </c>
    </row>
    <row r="55" spans="1:6">
      <c r="A55" t="s">
        <v>382</v>
      </c>
      <c r="B55" s="447">
        <v>30459.54</v>
      </c>
      <c r="C55">
        <v>9137.86</v>
      </c>
      <c r="D55">
        <v>18275.73</v>
      </c>
      <c r="E55">
        <f>B55-D55</f>
        <v>12183.810000000001</v>
      </c>
      <c r="F55">
        <f>E55-C55</f>
        <v>3045.9500000000007</v>
      </c>
    </row>
    <row r="56" spans="1:6">
      <c r="A56" t="s">
        <v>150</v>
      </c>
      <c r="B56" s="447">
        <v>40877.589999999997</v>
      </c>
      <c r="C56">
        <v>12263.28</v>
      </c>
      <c r="D56">
        <v>24526.55</v>
      </c>
      <c r="E56">
        <f>B56-D56</f>
        <v>16351.039999999997</v>
      </c>
      <c r="F56">
        <f>E56-C56</f>
        <v>4087.7599999999966</v>
      </c>
    </row>
    <row r="57" spans="1:6">
      <c r="B57" s="447">
        <f>SUM(B55:B56)</f>
        <v>71337.13</v>
      </c>
      <c r="C57">
        <f>SUM(C55:C56)</f>
        <v>21401.14</v>
      </c>
      <c r="D57">
        <f t="shared" ref="D57:E57" si="7">SUM(D55:D56)</f>
        <v>42802.28</v>
      </c>
      <c r="E57">
        <f t="shared" si="7"/>
        <v>28534.85</v>
      </c>
      <c r="F57">
        <f>SUM(F55:F56)</f>
        <v>7133.7099999999973</v>
      </c>
    </row>
  </sheetData>
  <mergeCells count="20">
    <mergeCell ref="B1:AM1"/>
    <mergeCell ref="A2:H2"/>
    <mergeCell ref="J2:AM2"/>
    <mergeCell ref="C3:D3"/>
    <mergeCell ref="E3:F3"/>
    <mergeCell ref="G3:H3"/>
    <mergeCell ref="K3:U3"/>
    <mergeCell ref="X3:Y3"/>
    <mergeCell ref="AB3:AL3"/>
    <mergeCell ref="V4:V5"/>
    <mergeCell ref="AM4:AM5"/>
    <mergeCell ref="X6:Y6"/>
    <mergeCell ref="K19:U19"/>
    <mergeCell ref="X19:Y19"/>
    <mergeCell ref="AB19:AL19"/>
    <mergeCell ref="V20:V21"/>
    <mergeCell ref="AM20:AM21"/>
    <mergeCell ref="X22:Y22"/>
    <mergeCell ref="X31:Y31"/>
    <mergeCell ref="X32:Y33"/>
  </mergeCells>
  <conditionalFormatting sqref="Y8">
    <cfRule type="cellIs" dxfId="8" priority="1" operator="greaterThan">
      <formula>$Y$7</formula>
    </cfRule>
  </conditionalFormatting>
  <conditionalFormatting sqref="Y21">
    <cfRule type="cellIs" dxfId="7" priority="3" operator="greaterThan">
      <formula>$Y$20</formula>
    </cfRule>
  </conditionalFormatting>
  <conditionalFormatting sqref="Y24">
    <cfRule type="cellIs" dxfId="6" priority="2" operator="greaterThan">
      <formula>$Y$23</formula>
    </cfRule>
  </conditionalFormatting>
  <pageMargins left="0.7" right="0.7" top="0.75" bottom="0.75" header="0.3" footer="0.3"/>
  <pageSetup paperSize="9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1D07F-7092-415F-95CC-4789E130117D}">
  <sheetPr>
    <pageSetUpPr fitToPage="1"/>
  </sheetPr>
  <dimension ref="A1:AM37"/>
  <sheetViews>
    <sheetView workbookViewId="0">
      <selection activeCell="B1" sqref="B1"/>
    </sheetView>
  </sheetViews>
  <sheetFormatPr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0.7109375" customWidth="1" outlineLevel="1"/>
    <col min="6" max="6" width="10.140625" customWidth="1" outlineLevel="1"/>
    <col min="7" max="8" width="10.7109375" customWidth="1"/>
    <col min="9" max="9" width="3.28515625" customWidth="1"/>
    <col min="10" max="10" width="0.5703125" hidden="1" customWidth="1" outlineLevel="1"/>
    <col min="11" max="11" width="16.140625" hidden="1" customWidth="1" outlineLevel="1" collapsed="1"/>
    <col min="12" max="15" width="10.7109375" hidden="1" customWidth="1" outlineLevel="1"/>
    <col min="16" max="22" width="9.140625" hidden="1" customWidth="1" outlineLevel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5" customWidth="1" collapsed="1"/>
    <col min="29" max="30" width="10.7109375" customWidth="1"/>
    <col min="31" max="31" width="10.7109375" hidden="1" customWidth="1" outlineLevel="1"/>
    <col min="32" max="38" width="12.7109375" hidden="1" customWidth="1" outlineLevel="1"/>
    <col min="39" max="39" width="12.7109375" customWidth="1" collapsed="1"/>
    <col min="40" max="40" width="12.7109375" customWidth="1"/>
  </cols>
  <sheetData>
    <row r="1" spans="1:39" ht="25.5">
      <c r="A1" s="331" t="s">
        <v>399</v>
      </c>
      <c r="B1" s="593" t="s">
        <v>400</v>
      </c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  <c r="AF1" s="593"/>
      <c r="AG1" s="593"/>
      <c r="AH1" s="593"/>
      <c r="AI1" s="593"/>
      <c r="AJ1" s="593"/>
      <c r="AK1" s="593"/>
      <c r="AL1" s="593"/>
      <c r="AM1" s="593"/>
    </row>
    <row r="2" spans="1:39" ht="18.75">
      <c r="A2" s="594" t="s">
        <v>35</v>
      </c>
      <c r="B2" s="556"/>
      <c r="C2" s="556"/>
      <c r="D2" s="556"/>
      <c r="E2" s="556"/>
      <c r="F2" s="556"/>
      <c r="G2" s="556"/>
      <c r="H2" s="557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</row>
    <row r="3" spans="1:39" ht="26.25" customHeight="1">
      <c r="A3" s="84"/>
      <c r="C3" s="561" t="s">
        <v>401</v>
      </c>
      <c r="D3" s="562"/>
      <c r="E3" s="561" t="s">
        <v>402</v>
      </c>
      <c r="F3" s="562"/>
      <c r="G3" s="563" t="s">
        <v>39</v>
      </c>
      <c r="H3" s="564"/>
      <c r="J3" s="115" t="s">
        <v>40</v>
      </c>
      <c r="K3" s="551" t="s">
        <v>41</v>
      </c>
      <c r="L3" s="552"/>
      <c r="M3" s="552"/>
      <c r="N3" s="552"/>
      <c r="O3" s="552"/>
      <c r="P3" s="552"/>
      <c r="Q3" s="552"/>
      <c r="R3" s="552"/>
      <c r="S3" s="552"/>
      <c r="T3" s="552"/>
      <c r="U3" s="553"/>
      <c r="V3" s="28"/>
      <c r="W3" s="116"/>
      <c r="X3" s="548" t="s">
        <v>42</v>
      </c>
      <c r="Y3" s="549"/>
      <c r="Z3" s="116"/>
      <c r="AA3" s="27" t="s">
        <v>40</v>
      </c>
      <c r="AB3" s="551" t="s">
        <v>20</v>
      </c>
      <c r="AC3" s="552"/>
      <c r="AD3" s="552"/>
      <c r="AE3" s="552"/>
      <c r="AF3" s="552"/>
      <c r="AG3" s="552"/>
      <c r="AH3" s="552"/>
      <c r="AI3" s="552"/>
      <c r="AJ3" s="552"/>
      <c r="AK3" s="552"/>
      <c r="AL3" s="553"/>
      <c r="AM3" s="117"/>
    </row>
    <row r="4" spans="1:39" ht="16.5" customHeight="1">
      <c r="A4" s="85" t="s">
        <v>43</v>
      </c>
      <c r="B4" s="5" t="s">
        <v>44</v>
      </c>
      <c r="C4" s="253">
        <f>G4/3</f>
        <v>29004.476666666666</v>
      </c>
      <c r="D4">
        <f>AM7</f>
        <v>412.5</v>
      </c>
      <c r="E4" s="253">
        <f>C4*2</f>
        <v>58008.953333333331</v>
      </c>
      <c r="F4" s="11"/>
      <c r="G4" s="144">
        <f>Y10+Y11</f>
        <v>87013.43</v>
      </c>
      <c r="H4" s="86">
        <f>D4+F4</f>
        <v>412.5</v>
      </c>
      <c r="J4" s="118" t="s">
        <v>45</v>
      </c>
      <c r="K4" s="31"/>
      <c r="L4" s="32"/>
      <c r="M4" s="31" t="s">
        <v>403</v>
      </c>
      <c r="N4" s="32" t="s">
        <v>404</v>
      </c>
      <c r="O4" s="32"/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V6</f>
        <v>1</v>
      </c>
      <c r="Z4" s="116"/>
      <c r="AA4" s="30" t="s">
        <v>45</v>
      </c>
      <c r="AB4" s="32" t="s">
        <v>405</v>
      </c>
      <c r="AC4" s="31" t="s">
        <v>354</v>
      </c>
      <c r="AD4" s="32" t="s">
        <v>406</v>
      </c>
      <c r="AE4" s="32"/>
      <c r="AF4" s="32"/>
      <c r="AG4" s="32"/>
      <c r="AH4" s="32"/>
      <c r="AI4" s="32"/>
      <c r="AJ4" s="32"/>
      <c r="AK4" s="32"/>
      <c r="AL4" s="32"/>
      <c r="AM4" s="584" t="s">
        <v>51</v>
      </c>
    </row>
    <row r="5" spans="1:39">
      <c r="A5" s="85" t="s">
        <v>53</v>
      </c>
      <c r="B5" s="5" t="s">
        <v>54</v>
      </c>
      <c r="C5" s="192">
        <f>C6+C7+C8+C9+C10+C11+C13+C14+C16+C15+C12</f>
        <v>14153.448316446667</v>
      </c>
      <c r="D5" s="5"/>
      <c r="E5" s="192">
        <f>E6+E7+E8+E9+E10+E11+E13+E14+E16+E15+E12</f>
        <v>31416.378704013332</v>
      </c>
      <c r="F5" s="12"/>
      <c r="G5" s="8">
        <f>G6+G7+G8+G9+G10+G11+G13+G14+G16+G15+G12</f>
        <v>45569.82702045999</v>
      </c>
      <c r="H5" s="87"/>
      <c r="J5" s="119"/>
      <c r="K5" s="80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V8+V7</f>
        <v>1.1542013807689058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85"/>
    </row>
    <row r="6" spans="1:39">
      <c r="A6" s="88" t="s">
        <v>56</v>
      </c>
      <c r="B6" s="81" t="s">
        <v>57</v>
      </c>
      <c r="C6" s="19">
        <f>1528.88+799.91+348.42+1389.44+362.98+3.64+28.78+507.61</f>
        <v>4969.66</v>
      </c>
      <c r="D6" s="13">
        <f>C6+C7+C8</f>
        <v>6604.6</v>
      </c>
      <c r="E6" s="13">
        <f>45.48+106.73+224.15+14.94+73.3+93.3+126.25+82.85+555.14+67.07+19.99+72.91</f>
        <v>1482.11</v>
      </c>
      <c r="F6" s="13">
        <f>E6+E7+E8</f>
        <v>17168.43</v>
      </c>
      <c r="G6" s="9">
        <f>C6+E6</f>
        <v>6451.7699999999995</v>
      </c>
      <c r="H6" s="90">
        <f>G6+G7+G8</f>
        <v>23773.03</v>
      </c>
      <c r="J6" s="120"/>
      <c r="K6" s="39">
        <v>1</v>
      </c>
      <c r="L6" s="40"/>
      <c r="M6" s="40"/>
      <c r="N6" s="40"/>
      <c r="O6" s="40"/>
      <c r="P6" s="40"/>
      <c r="Q6" s="40"/>
      <c r="R6" s="40"/>
      <c r="S6" s="40"/>
      <c r="T6" s="40"/>
      <c r="U6" s="41"/>
      <c r="V6" s="40">
        <f>K6</f>
        <v>1</v>
      </c>
      <c r="X6" s="531" t="s">
        <v>407</v>
      </c>
      <c r="Y6" s="532"/>
      <c r="AA6" s="42"/>
      <c r="AB6" s="43">
        <f>AM6/3</f>
        <v>159.33333333333334</v>
      </c>
      <c r="AC6" s="43">
        <f>AB6</f>
        <v>159.33333333333334</v>
      </c>
      <c r="AD6" s="43">
        <f>AC6</f>
        <v>159.33333333333334</v>
      </c>
      <c r="AE6" s="43"/>
      <c r="AF6" s="43"/>
      <c r="AG6" s="43"/>
      <c r="AH6" s="44"/>
      <c r="AI6" s="44"/>
      <c r="AJ6" s="44"/>
      <c r="AK6" s="44"/>
      <c r="AL6" s="44"/>
      <c r="AM6" s="121">
        <v>478</v>
      </c>
    </row>
    <row r="7" spans="1:39">
      <c r="A7" s="91" t="s">
        <v>59</v>
      </c>
      <c r="B7" s="92" t="s">
        <v>60</v>
      </c>
      <c r="C7" s="134">
        <v>929.94</v>
      </c>
      <c r="D7" s="13"/>
      <c r="E7" s="13">
        <f>1350</f>
        <v>1350</v>
      </c>
      <c r="F7" s="13"/>
      <c r="G7" s="9">
        <f t="shared" ref="G7:G16" si="0">C7+E7</f>
        <v>2279.94</v>
      </c>
      <c r="H7" s="90"/>
      <c r="J7" s="122"/>
      <c r="K7" s="45">
        <v>1</v>
      </c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f>K7</f>
        <v>1</v>
      </c>
      <c r="X7" s="49" t="s">
        <v>52</v>
      </c>
      <c r="Y7" s="50">
        <f>AM6</f>
        <v>478</v>
      </c>
      <c r="AA7" s="51"/>
      <c r="AB7" s="52">
        <f>70.5+75</f>
        <v>145.5</v>
      </c>
      <c r="AC7" s="53">
        <v>155</v>
      </c>
      <c r="AD7" s="53">
        <v>112</v>
      </c>
      <c r="AE7" s="53"/>
      <c r="AF7" s="53"/>
      <c r="AG7" s="53"/>
      <c r="AH7" s="54"/>
      <c r="AI7" s="54"/>
      <c r="AJ7" s="54"/>
      <c r="AK7" s="54"/>
      <c r="AL7" s="54"/>
      <c r="AM7" s="164">
        <f t="shared" ref="AM7" si="1">AB7+AC7+AD7+AE7+AF7+AG7+AL7+AH7+AI7+AJ7+AK7</f>
        <v>412.5</v>
      </c>
    </row>
    <row r="8" spans="1:39">
      <c r="A8" s="93" t="s">
        <v>61</v>
      </c>
      <c r="B8" s="82" t="s">
        <v>62</v>
      </c>
      <c r="C8" s="155">
        <v>705</v>
      </c>
      <c r="D8" s="14"/>
      <c r="E8" s="14">
        <f>2426+143.99+12.5+157.08+10036.75+1560</f>
        <v>14336.32</v>
      </c>
      <c r="F8" s="14"/>
      <c r="G8" s="9">
        <f t="shared" si="0"/>
        <v>15041.32</v>
      </c>
      <c r="H8" s="95"/>
      <c r="J8" s="124"/>
      <c r="K8" s="56"/>
      <c r="L8" s="55"/>
      <c r="M8" s="55"/>
      <c r="N8" s="56"/>
      <c r="O8" s="57"/>
      <c r="P8" s="56"/>
      <c r="Q8" s="58"/>
      <c r="R8" s="58"/>
      <c r="S8" s="58"/>
      <c r="T8" s="58"/>
      <c r="U8" s="58"/>
      <c r="V8" s="56">
        <f>Y11/Y10</f>
        <v>0.1542013807689058</v>
      </c>
      <c r="X8" s="59" t="s">
        <v>55</v>
      </c>
      <c r="Y8" s="77">
        <f>AM7</f>
        <v>412.5</v>
      </c>
      <c r="AM8" s="105"/>
    </row>
    <row r="9" spans="1:39">
      <c r="A9" s="88" t="s">
        <v>63</v>
      </c>
      <c r="B9" s="81" t="s">
        <v>64</v>
      </c>
      <c r="C9" s="138">
        <f>((34.5*15.5+5*7.75+26.5*14.5+9.5*14)-C13)*1.42</f>
        <v>1051.865</v>
      </c>
      <c r="D9" s="151">
        <f>C9+C10+C11+C13+C12</f>
        <v>3784.3133164466667</v>
      </c>
      <c r="E9" s="354">
        <f>((341*14.5)-E13)*1.42</f>
        <v>3187.19</v>
      </c>
      <c r="F9" s="6">
        <f>E9+E10+E11+E13+E12</f>
        <v>11014.798704013334</v>
      </c>
      <c r="G9" s="24">
        <f t="shared" si="0"/>
        <v>4239.0550000000003</v>
      </c>
      <c r="H9" s="96">
        <f>G9+G10+G11+G13+G12</f>
        <v>14799.112020460001</v>
      </c>
      <c r="J9" s="84"/>
      <c r="AM9" s="105"/>
    </row>
    <row r="10" spans="1:39">
      <c r="A10" s="91" t="s">
        <v>65</v>
      </c>
      <c r="B10" s="92" t="s">
        <v>66</v>
      </c>
      <c r="C10" s="134">
        <f>C9*0.2359</f>
        <v>248.13495349999999</v>
      </c>
      <c r="D10" s="13"/>
      <c r="E10" s="355">
        <f>E9*0.2359</f>
        <v>751.85812099999998</v>
      </c>
      <c r="F10" s="89"/>
      <c r="G10" s="25">
        <f t="shared" si="0"/>
        <v>999.99307449999992</v>
      </c>
      <c r="H10" s="95"/>
      <c r="J10" s="84"/>
      <c r="X10" s="10" t="s">
        <v>67</v>
      </c>
      <c r="Y10" s="61">
        <v>75388.429999999993</v>
      </c>
      <c r="AM10" s="105"/>
    </row>
    <row r="11" spans="1:39">
      <c r="A11" s="91" t="s">
        <v>68</v>
      </c>
      <c r="B11" s="92" t="s">
        <v>69</v>
      </c>
      <c r="C11" s="134">
        <f>(C9+C10)*0.08</f>
        <v>103.99999628</v>
      </c>
      <c r="D11" s="13"/>
      <c r="E11" s="355">
        <f>(E9+E10)*0.08</f>
        <v>315.12384967999998</v>
      </c>
      <c r="F11" s="89"/>
      <c r="G11" s="25">
        <f t="shared" si="0"/>
        <v>419.12384595999998</v>
      </c>
      <c r="H11" s="95"/>
      <c r="J11" s="84"/>
      <c r="X11" s="62" t="s">
        <v>70</v>
      </c>
      <c r="Y11" s="201">
        <f>7000+4625</f>
        <v>11625</v>
      </c>
      <c r="AM11" s="105"/>
    </row>
    <row r="12" spans="1:39">
      <c r="A12" s="97" t="s">
        <v>71</v>
      </c>
      <c r="B12" s="98" t="s">
        <v>72</v>
      </c>
      <c r="C12" s="135">
        <f>(C4)*0.07</f>
        <v>2030.3133666666668</v>
      </c>
      <c r="D12" s="142"/>
      <c r="E12" s="355">
        <f>(E4)*0.07</f>
        <v>4060.6267333333335</v>
      </c>
      <c r="F12" s="131"/>
      <c r="G12" s="25">
        <f t="shared" si="0"/>
        <v>6090.9400999999998</v>
      </c>
      <c r="H12" s="95"/>
      <c r="J12" s="84"/>
      <c r="AM12" s="105"/>
    </row>
    <row r="13" spans="1:39">
      <c r="A13" s="91" t="s">
        <v>73</v>
      </c>
      <c r="B13" s="92" t="s">
        <v>74</v>
      </c>
      <c r="C13" s="139">
        <f>7*50</f>
        <v>350</v>
      </c>
      <c r="D13" s="143"/>
      <c r="E13" s="356">
        <v>2700</v>
      </c>
      <c r="F13" s="133"/>
      <c r="G13" s="26">
        <f t="shared" si="0"/>
        <v>3050</v>
      </c>
      <c r="H13" s="99"/>
      <c r="J13" s="84"/>
      <c r="X13" s="64" t="s">
        <v>75</v>
      </c>
      <c r="Y13" s="65">
        <v>80.540000000000006</v>
      </c>
      <c r="AM13" s="105"/>
    </row>
    <row r="14" spans="1:39">
      <c r="A14" s="100" t="s">
        <v>76</v>
      </c>
      <c r="B14" s="81" t="s">
        <v>77</v>
      </c>
      <c r="C14" s="135">
        <f>2261.68</f>
        <v>2261.6799999999998</v>
      </c>
      <c r="D14" s="13">
        <f>C14+C16+C15</f>
        <v>3764.5349999999999</v>
      </c>
      <c r="E14" s="13"/>
      <c r="F14" s="13">
        <f>E14+E16+E15</f>
        <v>3233.15</v>
      </c>
      <c r="G14" s="9">
        <f t="shared" si="0"/>
        <v>2261.6799999999998</v>
      </c>
      <c r="H14" s="95">
        <f>G14+G16+G15</f>
        <v>6997.6849999999995</v>
      </c>
      <c r="J14" s="84"/>
      <c r="X14" s="66" t="s">
        <v>78</v>
      </c>
      <c r="Y14" s="66" t="s">
        <v>79</v>
      </c>
      <c r="AM14" s="105"/>
    </row>
    <row r="15" spans="1:39">
      <c r="A15" s="101" t="s">
        <v>80</v>
      </c>
      <c r="B15" s="92" t="s">
        <v>81</v>
      </c>
      <c r="C15" s="135">
        <f>122.54+347.97+247.98+159.3+280.99/2</f>
        <v>1018.285</v>
      </c>
      <c r="D15" s="13"/>
      <c r="E15" s="13">
        <f>305.98</f>
        <v>305.98</v>
      </c>
      <c r="F15" s="13"/>
      <c r="G15" s="9">
        <f t="shared" si="0"/>
        <v>1324.2649999999999</v>
      </c>
      <c r="H15" s="95"/>
      <c r="J15" s="84"/>
      <c r="X15" s="67" t="s">
        <v>82</v>
      </c>
      <c r="Y15" s="68">
        <v>13</v>
      </c>
      <c r="AM15" s="105"/>
    </row>
    <row r="16" spans="1:39">
      <c r="A16" s="91" t="s">
        <v>83</v>
      </c>
      <c r="B16" s="92" t="s">
        <v>84</v>
      </c>
      <c r="C16" s="19">
        <f>125+214.87+89+20+5+8+10.24+6.23+6.23</f>
        <v>484.57000000000005</v>
      </c>
      <c r="D16" s="13"/>
      <c r="E16" s="13">
        <f>12+6+20+24.38+30+10+8+12+10+16+18+128.34+8+12+6+8+6+12+6+4+4+57.95+483.5+25+2000</f>
        <v>2927.17</v>
      </c>
      <c r="F16" s="13"/>
      <c r="G16" s="9">
        <f t="shared" si="0"/>
        <v>3411.7400000000002</v>
      </c>
      <c r="H16" s="95"/>
      <c r="J16" s="84"/>
      <c r="X16" s="67" t="s">
        <v>85</v>
      </c>
      <c r="Y16" s="68">
        <v>12</v>
      </c>
      <c r="AM16" s="105"/>
    </row>
    <row r="17" spans="1:39">
      <c r="A17" s="85" t="s">
        <v>86</v>
      </c>
      <c r="B17" s="5" t="s">
        <v>87</v>
      </c>
      <c r="C17" s="185">
        <f>C4-C5</f>
        <v>14851.028350219998</v>
      </c>
      <c r="D17" s="129">
        <f>C17/C4</f>
        <v>0.51202538562909194</v>
      </c>
      <c r="E17" s="185">
        <f>E4-E5</f>
        <v>26592.574629319999</v>
      </c>
      <c r="F17" s="130">
        <f>E17/E4</f>
        <v>0.45842190043513975</v>
      </c>
      <c r="G17" s="16">
        <f>G4-G5</f>
        <v>41443.602979540003</v>
      </c>
      <c r="H17" s="102">
        <f>G17/G4</f>
        <v>0.47628972883312387</v>
      </c>
      <c r="J17" s="84"/>
      <c r="AM17" s="105"/>
    </row>
    <row r="18" spans="1:39" ht="27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51" t="s">
        <v>88</v>
      </c>
      <c r="L18" s="552"/>
      <c r="M18" s="552"/>
      <c r="N18" s="552"/>
      <c r="O18" s="552"/>
      <c r="P18" s="552"/>
      <c r="Q18" s="552"/>
      <c r="R18" s="552"/>
      <c r="S18" s="552"/>
      <c r="T18" s="552"/>
      <c r="U18" s="553"/>
      <c r="V18" s="29"/>
      <c r="X18" s="520" t="s">
        <v>89</v>
      </c>
      <c r="Y18" s="520"/>
      <c r="AA18" s="27" t="s">
        <v>40</v>
      </c>
      <c r="AB18" s="551" t="s">
        <v>90</v>
      </c>
      <c r="AC18" s="552"/>
      <c r="AD18" s="552"/>
      <c r="AE18" s="552"/>
      <c r="AF18" s="552"/>
      <c r="AG18" s="552"/>
      <c r="AH18" s="552"/>
      <c r="AI18" s="552"/>
      <c r="AJ18" s="552"/>
      <c r="AK18" s="552"/>
      <c r="AL18" s="553"/>
      <c r="AM18" s="117"/>
    </row>
    <row r="19" spans="1:39" ht="24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31">
        <f>K4</f>
        <v>0</v>
      </c>
      <c r="L19" s="32"/>
      <c r="M19" s="31" t="s">
        <v>403</v>
      </c>
      <c r="N19" s="32" t="s">
        <v>404</v>
      </c>
      <c r="O19" s="32"/>
      <c r="P19" s="32"/>
      <c r="Q19" s="31"/>
      <c r="R19" s="31"/>
      <c r="S19" s="31"/>
      <c r="T19" s="31"/>
      <c r="U19" s="31"/>
      <c r="V19" s="516" t="s">
        <v>51</v>
      </c>
      <c r="X19" s="69" t="s">
        <v>52</v>
      </c>
      <c r="Y19" s="50">
        <v>10832.59</v>
      </c>
      <c r="AA19" s="30" t="s">
        <v>45</v>
      </c>
      <c r="AB19" s="32" t="s">
        <v>405</v>
      </c>
      <c r="AC19" s="31" t="s">
        <v>354</v>
      </c>
      <c r="AD19" s="32" t="s">
        <v>406</v>
      </c>
      <c r="AE19" s="32"/>
      <c r="AF19" s="32"/>
      <c r="AG19" s="32"/>
      <c r="AH19" s="31"/>
      <c r="AI19" s="31"/>
      <c r="AJ19" s="31"/>
      <c r="AK19" s="31"/>
      <c r="AL19" s="31"/>
      <c r="AM19" s="518" t="s">
        <v>51</v>
      </c>
    </row>
    <row r="20" spans="1:39">
      <c r="A20" s="108" t="s">
        <v>93</v>
      </c>
      <c r="B20" s="3">
        <f>H6/G5*100</f>
        <v>52.16835690275137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/>
      <c r="R20" s="70"/>
      <c r="S20" s="70"/>
      <c r="T20" s="70"/>
      <c r="U20" s="70"/>
      <c r="V20" s="517"/>
      <c r="X20" s="71" t="s">
        <v>55</v>
      </c>
      <c r="Y20" s="77">
        <f>G6+G7</f>
        <v>8731.7099999999991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>
        <f>H9/G5*100</f>
        <v>32.47568180106429</v>
      </c>
      <c r="C21" s="109"/>
      <c r="D21" s="109"/>
      <c r="E21" s="109"/>
      <c r="F21" s="109"/>
      <c r="H21" s="105"/>
      <c r="J21" s="125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>
        <f>Y19</f>
        <v>10832.59</v>
      </c>
      <c r="X21" s="520" t="s">
        <v>90</v>
      </c>
      <c r="Y21" s="520"/>
      <c r="AA21" s="72"/>
      <c r="AB21" s="73">
        <f>AM21/3</f>
        <v>933.33333333333337</v>
      </c>
      <c r="AC21" s="73">
        <f>AB21</f>
        <v>933.33333333333337</v>
      </c>
      <c r="AD21" s="73">
        <f>AC21</f>
        <v>933.33333333333337</v>
      </c>
      <c r="AE21" s="73"/>
      <c r="AF21" s="73"/>
      <c r="AG21" s="73"/>
      <c r="AH21" s="73"/>
      <c r="AI21" s="73"/>
      <c r="AJ21" s="73"/>
      <c r="AK21" s="73"/>
      <c r="AL21" s="73"/>
      <c r="AM21" s="126">
        <f>Y22</f>
        <v>2800</v>
      </c>
    </row>
    <row r="22" spans="1:39">
      <c r="A22" s="111" t="s">
        <v>95</v>
      </c>
      <c r="B22" s="2">
        <f>H14/G5*100</f>
        <v>15.355961296184361</v>
      </c>
      <c r="C22" s="109"/>
      <c r="D22" s="109"/>
      <c r="E22" s="109"/>
      <c r="F22" s="109"/>
      <c r="H22" s="105"/>
      <c r="J22" s="12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63">
        <f t="shared" ref="V22" si="2">K22+L22+M22+N22+O22+P22+U22+Q22+R22+S22+T22</f>
        <v>0</v>
      </c>
      <c r="X22" s="69" t="s">
        <v>52</v>
      </c>
      <c r="Y22" s="50">
        <v>2800</v>
      </c>
      <c r="AA22" s="72"/>
      <c r="AB22" s="75">
        <f>2261.68+247.98+159.3+280.99/2+324.8+122.54</f>
        <v>3256.7950000000001</v>
      </c>
      <c r="AC22" s="76">
        <f>305.98</f>
        <v>305.98</v>
      </c>
      <c r="AD22" s="76"/>
      <c r="AE22" s="76"/>
      <c r="AF22" s="76"/>
      <c r="AG22" s="76"/>
      <c r="AH22" s="76"/>
      <c r="AI22" s="76"/>
      <c r="AJ22" s="76"/>
      <c r="AK22" s="76"/>
      <c r="AL22" s="76"/>
      <c r="AM22" s="357">
        <f t="shared" ref="AM22" si="3">AB22+AC22+AD22+AE22+AF22+AG22+AL22+AH22+AI22+AJ22+AK22</f>
        <v>3562.7750000000001</v>
      </c>
    </row>
    <row r="23" spans="1:39">
      <c r="A23" s="84"/>
      <c r="H23" s="105"/>
      <c r="J23" s="84"/>
      <c r="X23" s="71" t="s">
        <v>55</v>
      </c>
      <c r="Y23" s="77">
        <f>AM22</f>
        <v>3562.7750000000001</v>
      </c>
      <c r="AM23" s="105"/>
    </row>
    <row r="24" spans="1:39">
      <c r="A24" s="84"/>
      <c r="H24" s="105"/>
      <c r="J24" s="84"/>
      <c r="V24" s="128"/>
      <c r="AM24" s="105"/>
    </row>
    <row r="25" spans="1:39" ht="24.75" customHeight="1">
      <c r="A25" s="84"/>
      <c r="H25" s="105"/>
      <c r="J25" s="84"/>
      <c r="X25" s="10" t="s">
        <v>96</v>
      </c>
      <c r="Y25" s="78"/>
      <c r="AM25" s="105"/>
    </row>
    <row r="26" spans="1:39" ht="27.75">
      <c r="A26" s="84"/>
      <c r="H26" s="105"/>
      <c r="J26" s="84"/>
      <c r="X26" s="10" t="s">
        <v>97</v>
      </c>
      <c r="Y26" s="78"/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95">
        <v>45114</v>
      </c>
      <c r="Y31" s="596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97"/>
      <c r="Y32" s="598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7" spans="9:9">
      <c r="I37" s="1"/>
    </row>
  </sheetData>
  <mergeCells count="20">
    <mergeCell ref="V19:V20"/>
    <mergeCell ref="AM19:AM20"/>
    <mergeCell ref="X21:Y21"/>
    <mergeCell ref="X30:Y30"/>
    <mergeCell ref="X31:Y32"/>
    <mergeCell ref="V4:V5"/>
    <mergeCell ref="AM4:AM5"/>
    <mergeCell ref="X6:Y6"/>
    <mergeCell ref="K18:U18"/>
    <mergeCell ref="X18:Y18"/>
    <mergeCell ref="AB18:AL18"/>
    <mergeCell ref="B1:AM1"/>
    <mergeCell ref="A2:H2"/>
    <mergeCell ref="J2:AM2"/>
    <mergeCell ref="C3:D3"/>
    <mergeCell ref="E3:F3"/>
    <mergeCell ref="G3:H3"/>
    <mergeCell ref="K3:U3"/>
    <mergeCell ref="X3:Y3"/>
    <mergeCell ref="AB3:AL3"/>
  </mergeCells>
  <conditionalFormatting sqref="Y8">
    <cfRule type="cellIs" dxfId="5" priority="1" operator="greaterThan">
      <formula>$Y$7</formula>
    </cfRule>
  </conditionalFormatting>
  <conditionalFormatting sqref="Y20">
    <cfRule type="cellIs" dxfId="4" priority="4" operator="greaterThan">
      <formula>$Y$19</formula>
    </cfRule>
  </conditionalFormatting>
  <conditionalFormatting sqref="Y23">
    <cfRule type="cellIs" dxfId="3" priority="3" operator="greaterThan">
      <formula>$Y$22</formula>
    </cfRule>
  </conditionalFormatting>
  <pageMargins left="0.7" right="0.7" top="0.75" bottom="0.75" header="0.3" footer="0.3"/>
  <pageSetup paperSize="9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A1B16-E55D-499F-A48B-30F1E15953DC}">
  <sheetPr>
    <pageSetUpPr fitToPage="1"/>
  </sheetPr>
  <dimension ref="A1:AQ42"/>
  <sheetViews>
    <sheetView workbookViewId="0">
      <selection activeCell="B1" sqref="B1:AQ1"/>
    </sheetView>
  </sheetViews>
  <sheetFormatPr defaultRowHeight="15" outlineLevelCol="2"/>
  <cols>
    <col min="1" max="1" width="22.28515625" customWidth="1"/>
    <col min="2" max="2" width="29.42578125" customWidth="1"/>
    <col min="3" max="5" width="10.7109375" customWidth="1"/>
    <col min="6" max="6" width="10.140625" customWidth="1"/>
    <col min="7" max="7" width="10.7109375" customWidth="1"/>
    <col min="8" max="8" width="10.140625" customWidth="1"/>
    <col min="9" max="9" width="10.7109375" customWidth="1"/>
    <col min="10" max="10" width="10.140625" customWidth="1"/>
    <col min="11" max="12" width="10.7109375" customWidth="1"/>
    <col min="13" max="13" width="3.28515625" customWidth="1"/>
    <col min="14" max="14" width="0.85546875" hidden="1" customWidth="1" outlineLevel="1"/>
    <col min="15" max="15" width="11.5703125" hidden="1" customWidth="1" outlineLevel="1" collapsed="1"/>
    <col min="16" max="19" width="10.7109375" hidden="1" customWidth="1" outlineLevel="1"/>
    <col min="20" max="24" width="9.140625" hidden="1" customWidth="1" outlineLevel="2"/>
    <col min="25" max="25" width="2.85546875" hidden="1" customWidth="1" outlineLevel="2"/>
    <col min="26" max="26" width="9.140625" hidden="1" customWidth="1" outlineLevel="1" collapsed="1"/>
    <col min="27" max="27" width="3" hidden="1" customWidth="1" outlineLevel="1" collapsed="1"/>
    <col min="28" max="28" width="22.42578125" customWidth="1" collapsed="1"/>
    <col min="29" max="29" width="13.5703125" customWidth="1"/>
    <col min="30" max="30" width="2.85546875" customWidth="1"/>
    <col min="31" max="31" width="20.7109375" hidden="1" customWidth="1" outlineLevel="1"/>
    <col min="32" max="32" width="8.7109375" customWidth="1" collapsed="1"/>
    <col min="33" max="41" width="8.7109375" customWidth="1"/>
    <col min="42" max="42" width="8.7109375" customWidth="1" outlineLevel="1"/>
    <col min="43" max="43" width="8.7109375" customWidth="1"/>
    <col min="44" max="44" width="12.7109375" customWidth="1"/>
  </cols>
  <sheetData>
    <row r="1" spans="1:43" ht="25.5">
      <c r="A1" s="237" t="s">
        <v>408</v>
      </c>
      <c r="B1" s="554" t="s">
        <v>409</v>
      </c>
      <c r="C1" s="554"/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4"/>
      <c r="AB1" s="554"/>
      <c r="AC1" s="554"/>
      <c r="AD1" s="554"/>
      <c r="AE1" s="554"/>
      <c r="AF1" s="554"/>
      <c r="AG1" s="554"/>
      <c r="AH1" s="554"/>
      <c r="AI1" s="554"/>
      <c r="AJ1" s="554"/>
      <c r="AK1" s="554"/>
      <c r="AL1" s="554"/>
      <c r="AM1" s="554"/>
      <c r="AN1" s="554"/>
      <c r="AO1" s="554"/>
      <c r="AP1" s="554"/>
      <c r="AQ1" s="554"/>
    </row>
    <row r="2" spans="1:43" ht="18.75">
      <c r="A2" s="555" t="s">
        <v>35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7"/>
      <c r="M2" s="7"/>
      <c r="N2" s="558" t="s">
        <v>36</v>
      </c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59"/>
      <c r="AN2" s="559"/>
      <c r="AO2" s="559"/>
      <c r="AP2" s="559"/>
      <c r="AQ2" s="560"/>
    </row>
    <row r="3" spans="1:43" ht="15.75" customHeight="1">
      <c r="A3" s="84"/>
      <c r="C3" s="561" t="s">
        <v>410</v>
      </c>
      <c r="D3" s="562"/>
      <c r="E3" s="561" t="s">
        <v>367</v>
      </c>
      <c r="F3" s="562"/>
      <c r="G3" s="561" t="s">
        <v>351</v>
      </c>
      <c r="H3" s="562"/>
      <c r="I3" s="561" t="s">
        <v>352</v>
      </c>
      <c r="J3" s="562"/>
      <c r="K3" s="563" t="s">
        <v>39</v>
      </c>
      <c r="L3" s="564"/>
      <c r="N3" s="115" t="s">
        <v>40</v>
      </c>
      <c r="O3" s="551" t="s">
        <v>41</v>
      </c>
      <c r="P3" s="534"/>
      <c r="Q3" s="534"/>
      <c r="R3" s="534"/>
      <c r="S3" s="534"/>
      <c r="T3" s="534"/>
      <c r="U3" s="534"/>
      <c r="V3" s="534"/>
      <c r="W3" s="534"/>
      <c r="X3" s="534"/>
      <c r="Y3" s="535"/>
      <c r="Z3" s="28" t="str">
        <f>AB3</f>
        <v>execution of the contract</v>
      </c>
      <c r="AA3" s="116"/>
      <c r="AB3" s="548" t="s">
        <v>42</v>
      </c>
      <c r="AC3" s="549"/>
      <c r="AD3" s="116"/>
      <c r="AE3" s="27" t="s">
        <v>40</v>
      </c>
      <c r="AF3" s="551" t="s">
        <v>20</v>
      </c>
      <c r="AG3" s="534"/>
      <c r="AH3" s="534"/>
      <c r="AI3" s="534"/>
      <c r="AJ3" s="534"/>
      <c r="AK3" s="534"/>
      <c r="AL3" s="534"/>
      <c r="AM3" s="534"/>
      <c r="AN3" s="534"/>
      <c r="AO3" s="534"/>
      <c r="AP3" s="535"/>
      <c r="AQ3" s="339"/>
    </row>
    <row r="4" spans="1:43" ht="16.5" customHeight="1">
      <c r="A4" s="85" t="s">
        <v>43</v>
      </c>
      <c r="B4" s="5" t="s">
        <v>44</v>
      </c>
      <c r="C4" s="83">
        <v>79000</v>
      </c>
      <c r="E4" s="83">
        <f>C4</f>
        <v>79000</v>
      </c>
      <c r="F4" s="161"/>
      <c r="G4" s="83">
        <f>AC11</f>
        <v>24166.3</v>
      </c>
      <c r="H4" s="161"/>
      <c r="I4" s="83">
        <f>AE11</f>
        <v>0</v>
      </c>
      <c r="J4" s="161"/>
      <c r="K4" s="144">
        <f>AC10+AC11</f>
        <v>182166.3</v>
      </c>
      <c r="L4" s="86"/>
      <c r="N4" s="118" t="s">
        <v>45</v>
      </c>
      <c r="O4" s="31" t="s">
        <v>411</v>
      </c>
      <c r="P4" s="32" t="s">
        <v>412</v>
      </c>
      <c r="Q4" s="31" t="s">
        <v>413</v>
      </c>
      <c r="R4" s="32" t="s">
        <v>414</v>
      </c>
      <c r="S4" s="32" t="s">
        <v>415</v>
      </c>
      <c r="T4" s="32"/>
      <c r="U4" s="32"/>
      <c r="V4" s="32"/>
      <c r="W4" s="32"/>
      <c r="X4" s="32"/>
      <c r="Y4" s="32"/>
      <c r="Z4" s="527" t="s">
        <v>51</v>
      </c>
      <c r="AA4" s="116"/>
      <c r="AB4" s="33" t="s">
        <v>52</v>
      </c>
      <c r="AC4" s="34">
        <v>1</v>
      </c>
      <c r="AD4" s="116"/>
      <c r="AE4" s="30" t="s">
        <v>45</v>
      </c>
      <c r="AF4" s="238" t="s">
        <v>411</v>
      </c>
      <c r="AG4" s="190" t="s">
        <v>412</v>
      </c>
      <c r="AH4" s="238" t="s">
        <v>413</v>
      </c>
      <c r="AI4" s="190" t="s">
        <v>414</v>
      </c>
      <c r="AJ4" s="190" t="s">
        <v>415</v>
      </c>
      <c r="AK4" s="190" t="s">
        <v>416</v>
      </c>
      <c r="AL4" s="190" t="s">
        <v>417</v>
      </c>
      <c r="AM4" s="238" t="s">
        <v>418</v>
      </c>
      <c r="AN4" s="238" t="s">
        <v>419</v>
      </c>
      <c r="AO4" s="190" t="s">
        <v>420</v>
      </c>
      <c r="AP4" s="32" t="s">
        <v>421</v>
      </c>
      <c r="AQ4" s="527" t="s">
        <v>51</v>
      </c>
    </row>
    <row r="5" spans="1:43">
      <c r="A5" s="85" t="s">
        <v>53</v>
      </c>
      <c r="B5" s="5" t="s">
        <v>54</v>
      </c>
      <c r="C5" s="192">
        <f>C6+C7+C8+C9+C10+C11+C13+C14+C16+C15+C12</f>
        <v>70826.617189209617</v>
      </c>
      <c r="D5" s="5"/>
      <c r="E5" s="192">
        <f>E6+E7+E8+E9+E10+E11+E13+E14+E16+E15+E12</f>
        <v>49110.312811237593</v>
      </c>
      <c r="F5" s="12"/>
      <c r="G5" s="192">
        <f>G6+G7+G8+G9+G10+G11+G13+G14+G16+G15+G12</f>
        <v>12161.914509245806</v>
      </c>
      <c r="H5" s="12"/>
      <c r="I5" s="192">
        <f>I6+I7+I8+I9+I10+I11+I13+I14+I16+I15+I12</f>
        <v>1647.9391524571427</v>
      </c>
      <c r="J5" s="12"/>
      <c r="K5" s="8">
        <f>K6+K7+K8+K9+K10+K11+K13+K14+K16+K15+K12</f>
        <v>133746.78366215012</v>
      </c>
      <c r="L5" s="87"/>
      <c r="N5" s="119"/>
      <c r="O5" s="80">
        <v>1</v>
      </c>
      <c r="P5" s="80">
        <v>2</v>
      </c>
      <c r="Q5" s="80">
        <v>3</v>
      </c>
      <c r="R5" s="80">
        <v>4</v>
      </c>
      <c r="S5" s="80">
        <v>5</v>
      </c>
      <c r="T5" s="80">
        <v>6</v>
      </c>
      <c r="U5" s="80"/>
      <c r="V5" s="80"/>
      <c r="W5" s="80"/>
      <c r="X5" s="80"/>
      <c r="Y5" s="36"/>
      <c r="Z5" s="528"/>
      <c r="AB5" s="37" t="s">
        <v>55</v>
      </c>
      <c r="AC5" s="38">
        <f>1+AC11/AC10</f>
        <v>1.1529512658227847</v>
      </c>
      <c r="AE5" s="35"/>
      <c r="AF5" s="80">
        <v>1</v>
      </c>
      <c r="AG5" s="80">
        <v>2</v>
      </c>
      <c r="AH5" s="80">
        <v>3</v>
      </c>
      <c r="AI5" s="80">
        <v>4</v>
      </c>
      <c r="AJ5" s="80">
        <v>5</v>
      </c>
      <c r="AK5" s="80">
        <v>6</v>
      </c>
      <c r="AL5" s="36">
        <v>7</v>
      </c>
      <c r="AM5" s="36">
        <v>8</v>
      </c>
      <c r="AN5" s="36">
        <v>9</v>
      </c>
      <c r="AO5" s="36">
        <v>10</v>
      </c>
      <c r="AP5" s="36">
        <v>11</v>
      </c>
      <c r="AQ5" s="528"/>
    </row>
    <row r="6" spans="1:43">
      <c r="A6" s="88" t="s">
        <v>422</v>
      </c>
      <c r="B6" s="81" t="s">
        <v>57</v>
      </c>
      <c r="C6" s="19">
        <f>140.3+51.34+235.59+9.29+162.1+22.98+43.87+864.89+296.32+733.98+2093.78+4288.67+162.7+79.65+3417.65+210.04+185.37+137.37+7.95+887.5+160.5+39.99+24.18+30.48+33.76+184.87+106.9+420.5+323.88+70.4+23.95+47.88+61.55+31.9+450.63+8.98+56.96+88.21+441.25+63.45+471.18+662.64+58.4+144.26+57</f>
        <v>18095.04</v>
      </c>
      <c r="D6" s="13">
        <f>C6+C7+C8</f>
        <v>27366.04</v>
      </c>
      <c r="E6" s="13">
        <f>211.03+95.38+39.99+43.24+81.84+219.24+145.77+25.3+29.81+9.99+100+171.38+27.98+43.96+56.94+69.12+73.14+93.5+110.75+38.97+111.36+27.99</f>
        <v>1826.6799999999998</v>
      </c>
      <c r="F6" s="13">
        <f>E6+E7+E8</f>
        <v>30886.619999999995</v>
      </c>
      <c r="G6" s="347">
        <f>82.7+110.3+79.97+141.88+41.74+17.97+18.94+18.14+9.08+10.66+84.39+9.47+27.05+268.9</f>
        <v>921.18999999999994</v>
      </c>
      <c r="H6" s="341">
        <f>G6+G7+G8</f>
        <v>5092.78</v>
      </c>
      <c r="I6" s="347">
        <f>60.35+6.83</f>
        <v>67.180000000000007</v>
      </c>
      <c r="J6" s="341">
        <f>I6+I7+I8</f>
        <v>67.180000000000007</v>
      </c>
      <c r="K6" s="9">
        <f>C6+E6+G6+I6</f>
        <v>20910.09</v>
      </c>
      <c r="L6" s="90">
        <f>K6+K7+K8</f>
        <v>63412.619999999995</v>
      </c>
      <c r="N6" s="120"/>
      <c r="O6" s="39">
        <v>0.2</v>
      </c>
      <c r="P6" s="40">
        <v>0.4</v>
      </c>
      <c r="Q6" s="40">
        <v>0.6</v>
      </c>
      <c r="R6" s="40">
        <v>0.8</v>
      </c>
      <c r="S6" s="40">
        <v>1</v>
      </c>
      <c r="T6" s="40"/>
      <c r="U6" s="40"/>
      <c r="V6" s="40"/>
      <c r="W6" s="40"/>
      <c r="X6" s="40"/>
      <c r="Y6" s="41"/>
      <c r="Z6" s="40">
        <f>O6</f>
        <v>0.2</v>
      </c>
      <c r="AB6" s="531" t="s">
        <v>58</v>
      </c>
      <c r="AC6" s="532"/>
      <c r="AE6" s="42"/>
      <c r="AF6" s="337">
        <v>336</v>
      </c>
      <c r="AG6" s="340">
        <v>336</v>
      </c>
      <c r="AH6" s="337">
        <v>336</v>
      </c>
      <c r="AI6" s="337">
        <v>336</v>
      </c>
      <c r="AJ6" s="337">
        <v>336</v>
      </c>
      <c r="AK6" s="337"/>
      <c r="AL6" s="337"/>
      <c r="AM6" s="337"/>
      <c r="AN6" s="337"/>
      <c r="AO6" s="337"/>
      <c r="AP6" s="337"/>
      <c r="AQ6" s="338" t="s">
        <v>423</v>
      </c>
    </row>
    <row r="7" spans="1:43">
      <c r="A7" s="91" t="s">
        <v>424</v>
      </c>
      <c r="B7" s="92" t="s">
        <v>60</v>
      </c>
      <c r="C7" s="134">
        <f>1100+670</f>
        <v>1770</v>
      </c>
      <c r="D7" s="13"/>
      <c r="E7" s="156">
        <v>98.9</v>
      </c>
      <c r="F7" s="13"/>
      <c r="G7" s="341"/>
      <c r="H7" s="341"/>
      <c r="I7" s="341"/>
      <c r="J7" s="341"/>
      <c r="K7" s="9">
        <f t="shared" ref="K7:K16" si="0">C7+E7+G7+I7</f>
        <v>1868.9</v>
      </c>
      <c r="L7" s="90"/>
      <c r="N7" s="122"/>
      <c r="O7" s="45"/>
      <c r="P7" s="46"/>
      <c r="Q7" s="46"/>
      <c r="R7" s="46"/>
      <c r="S7" s="46"/>
      <c r="T7" s="46"/>
      <c r="U7" s="46"/>
      <c r="V7" s="46"/>
      <c r="W7" s="46"/>
      <c r="X7" s="46"/>
      <c r="Y7" s="47"/>
      <c r="Z7" s="48">
        <f>O7</f>
        <v>0</v>
      </c>
      <c r="AB7" s="49" t="s">
        <v>52</v>
      </c>
      <c r="AC7" s="50">
        <f>AQ6/AC13</f>
        <v>10.892949714878176</v>
      </c>
      <c r="AE7" s="51"/>
      <c r="AF7" s="336">
        <f>76+116-16</f>
        <v>176</v>
      </c>
      <c r="AG7" s="335">
        <f>80-13</f>
        <v>67</v>
      </c>
      <c r="AH7" s="335">
        <f>402.5-57.5</f>
        <v>345</v>
      </c>
      <c r="AI7" s="335">
        <f>388.5-55.5</f>
        <v>333</v>
      </c>
      <c r="AJ7" s="335">
        <f>345.5-49.5+60</f>
        <v>356</v>
      </c>
      <c r="AK7" s="335">
        <f>285-57</f>
        <v>228</v>
      </c>
      <c r="AL7" s="335">
        <f>49.5-16.5</f>
        <v>33</v>
      </c>
      <c r="AM7" s="335">
        <v>73.5</v>
      </c>
      <c r="AN7" s="335">
        <v>50.5</v>
      </c>
      <c r="AO7" s="335">
        <f>36.5*2</f>
        <v>73</v>
      </c>
      <c r="AP7" s="335"/>
      <c r="AQ7" s="52">
        <f>AF7+AG7+AH7+AI7+AJ7+AK7+AP7+AL7+AM7+AN7+AO7</f>
        <v>1735</v>
      </c>
    </row>
    <row r="8" spans="1:43">
      <c r="A8" s="93" t="s">
        <v>61</v>
      </c>
      <c r="B8" s="82" t="s">
        <v>62</v>
      </c>
      <c r="C8" s="155">
        <f>7501</f>
        <v>7501</v>
      </c>
      <c r="D8" s="14"/>
      <c r="E8" s="196">
        <f>4550+3475.62+286.8+11500+8373.57+775.05</f>
        <v>28961.039999999997</v>
      </c>
      <c r="F8" s="14"/>
      <c r="G8" s="157">
        <f>705+1678.48+1788.11</f>
        <v>4171.59</v>
      </c>
      <c r="H8" s="14"/>
      <c r="I8" s="157"/>
      <c r="J8" s="14"/>
      <c r="K8" s="9">
        <f t="shared" si="0"/>
        <v>40633.62999999999</v>
      </c>
      <c r="L8" s="95"/>
      <c r="N8" s="124"/>
      <c r="O8" s="55"/>
      <c r="P8" s="55"/>
      <c r="Q8" s="55"/>
      <c r="R8" s="56"/>
      <c r="S8" s="57"/>
      <c r="T8" s="56"/>
      <c r="U8" s="58"/>
      <c r="V8" s="58"/>
      <c r="W8" s="58"/>
      <c r="X8" s="58"/>
      <c r="Y8" s="58"/>
      <c r="Z8" s="56">
        <f>AC11/AC10</f>
        <v>0.15295126582278482</v>
      </c>
      <c r="AB8" s="59" t="s">
        <v>55</v>
      </c>
      <c r="AC8" s="77">
        <f>AQ7/AC13</f>
        <v>11.242871954380508</v>
      </c>
      <c r="AQ8" s="105"/>
    </row>
    <row r="9" spans="1:43">
      <c r="A9" s="88" t="s">
        <v>63</v>
      </c>
      <c r="B9" s="81" t="s">
        <v>64</v>
      </c>
      <c r="C9" s="138">
        <f>((602.5*13+327*14.5+213.5*14+17*50+2746.04)-C13)*1.42</f>
        <v>10591.836800000001</v>
      </c>
      <c r="D9" s="151">
        <f>C9+C10+C11+C13+C12</f>
        <v>31367.687189209602</v>
      </c>
      <c r="E9" s="160">
        <f>3187.49*1.42</f>
        <v>4526.2357999999995</v>
      </c>
      <c r="F9" s="151">
        <f>E9+E10+E11+E13+E12</f>
        <v>15271.4928112376</v>
      </c>
      <c r="G9" s="351">
        <f>((38.5+36.5)*13.5+36.5*14.5+2500/31*9-G13)*1.42</f>
        <v>1373.9301612903228</v>
      </c>
      <c r="H9" s="346">
        <f>G9+G10+G11+G13+G12</f>
        <v>4825.5245092458063</v>
      </c>
      <c r="I9" s="351">
        <f>((2400/21*2+40*13.5)-I13)*1.42</f>
        <v>665.37142857142851</v>
      </c>
      <c r="J9" s="346">
        <f>I9+I10+I11+I13+I12</f>
        <v>1188.1191524571427</v>
      </c>
      <c r="K9" s="9">
        <f t="shared" si="0"/>
        <v>17157.374189861748</v>
      </c>
      <c r="L9" s="96">
        <f>K9+K10+K11+K13+K12</f>
        <v>52652.823662150149</v>
      </c>
      <c r="N9" s="84"/>
      <c r="AQ9" s="105"/>
    </row>
    <row r="10" spans="1:43">
      <c r="A10" s="91" t="s">
        <v>65</v>
      </c>
      <c r="B10" s="92" t="s">
        <v>66</v>
      </c>
      <c r="C10" s="134">
        <f>C9*0.2359</f>
        <v>2498.6143011200002</v>
      </c>
      <c r="D10" s="13"/>
      <c r="E10" s="156">
        <f>E9*0.2359</f>
        <v>1067.7390252199998</v>
      </c>
      <c r="F10" s="13"/>
      <c r="G10" s="342">
        <f>G9*0.2359</f>
        <v>324.11012504838715</v>
      </c>
      <c r="H10" s="341"/>
      <c r="I10" s="342">
        <f>I9*0.2359</f>
        <v>156.96111999999999</v>
      </c>
      <c r="J10" s="341"/>
      <c r="K10" s="9">
        <f t="shared" si="0"/>
        <v>4047.424571388387</v>
      </c>
      <c r="L10" s="95"/>
      <c r="N10" s="84"/>
      <c r="AB10" s="10" t="s">
        <v>67</v>
      </c>
      <c r="AC10" s="146">
        <f>90500+67500</f>
        <v>158000</v>
      </c>
      <c r="AQ10" s="105"/>
    </row>
    <row r="11" spans="1:43">
      <c r="A11" s="91" t="s">
        <v>68</v>
      </c>
      <c r="B11" s="92" t="s">
        <v>69</v>
      </c>
      <c r="C11" s="134">
        <f>(C9+C10)*0.08</f>
        <v>1047.2360880896001</v>
      </c>
      <c r="D11" s="13"/>
      <c r="E11" s="156">
        <f>(E9+E10)*0.08</f>
        <v>447.51798601759992</v>
      </c>
      <c r="F11" s="13"/>
      <c r="G11" s="342">
        <f>(G9+G10)*0.08</f>
        <v>135.84322290709679</v>
      </c>
      <c r="H11" s="341"/>
      <c r="I11" s="342">
        <f>(I9+I10)*0.08</f>
        <v>65.786603885714285</v>
      </c>
      <c r="J11" s="341"/>
      <c r="K11" s="9">
        <f t="shared" si="0"/>
        <v>1696.3839009000112</v>
      </c>
      <c r="L11" s="95"/>
      <c r="N11" s="84"/>
      <c r="AB11" s="62" t="s">
        <v>70</v>
      </c>
      <c r="AC11" s="201">
        <f>9574.05+4592.25+10000</f>
        <v>24166.3</v>
      </c>
      <c r="AQ11" s="105"/>
    </row>
    <row r="12" spans="1:43">
      <c r="A12" s="97" t="s">
        <v>71</v>
      </c>
      <c r="B12" s="98" t="s">
        <v>72</v>
      </c>
      <c r="C12" s="135">
        <f>(C4)*0.07</f>
        <v>5530.0000000000009</v>
      </c>
      <c r="D12" s="142"/>
      <c r="E12" s="159">
        <f>(E4)*0.07</f>
        <v>5530.0000000000009</v>
      </c>
      <c r="F12" s="142"/>
      <c r="G12" s="343">
        <f>(G4)*0.07</f>
        <v>1691.6410000000001</v>
      </c>
      <c r="H12" s="347"/>
      <c r="I12" s="343">
        <f>(I4)*0.07</f>
        <v>0</v>
      </c>
      <c r="J12" s="347"/>
      <c r="K12" s="9">
        <f t="shared" si="0"/>
        <v>12751.641000000001</v>
      </c>
      <c r="L12" s="95"/>
      <c r="N12" s="84"/>
      <c r="AQ12" s="105"/>
    </row>
    <row r="13" spans="1:43">
      <c r="A13" s="91" t="s">
        <v>425</v>
      </c>
      <c r="B13" s="92" t="s">
        <v>74</v>
      </c>
      <c r="C13" s="139">
        <f>234*50</f>
        <v>11700</v>
      </c>
      <c r="D13" s="143"/>
      <c r="E13" s="162">
        <v>3700</v>
      </c>
      <c r="F13" s="143"/>
      <c r="G13" s="348">
        <f>4*2*50+3*6*50</f>
        <v>1300</v>
      </c>
      <c r="H13" s="344"/>
      <c r="I13" s="348">
        <f>6*50</f>
        <v>300</v>
      </c>
      <c r="J13" s="344"/>
      <c r="K13" s="9">
        <f t="shared" si="0"/>
        <v>17000</v>
      </c>
      <c r="L13" s="99"/>
      <c r="N13" s="84"/>
      <c r="AB13" s="64" t="s">
        <v>75</v>
      </c>
      <c r="AC13" s="65">
        <f>86.6+12.49+42.74+12.49</f>
        <v>154.32</v>
      </c>
      <c r="AQ13" s="105"/>
    </row>
    <row r="14" spans="1:43">
      <c r="A14" s="100" t="s">
        <v>426</v>
      </c>
      <c r="B14" s="81" t="s">
        <v>77</v>
      </c>
      <c r="C14" s="19">
        <f>6000+59.36+2569.54+85+414.15</f>
        <v>9128.0499999999993</v>
      </c>
      <c r="D14" s="13">
        <f>C14+C16+C15</f>
        <v>12092.89</v>
      </c>
      <c r="E14" s="13">
        <f>455.44</f>
        <v>455.44</v>
      </c>
      <c r="F14" s="156">
        <f>E14+E16+E15</f>
        <v>2952.2</v>
      </c>
      <c r="G14" s="343">
        <f>540+258+441</f>
        <v>1239</v>
      </c>
      <c r="H14" s="341">
        <f>G14+G16+G15</f>
        <v>2243.6099999999997</v>
      </c>
      <c r="I14" s="343">
        <v>289</v>
      </c>
      <c r="J14" s="341">
        <f>I14+I16+I15</f>
        <v>392.64</v>
      </c>
      <c r="K14" s="9">
        <f t="shared" si="0"/>
        <v>11111.49</v>
      </c>
      <c r="L14" s="95">
        <f>K14+K16+K15</f>
        <v>17681.34</v>
      </c>
      <c r="N14" s="84"/>
      <c r="AB14" s="66" t="s">
        <v>78</v>
      </c>
      <c r="AC14" s="349" t="s">
        <v>79</v>
      </c>
      <c r="AQ14" s="105"/>
    </row>
    <row r="15" spans="1:43">
      <c r="A15" s="101" t="s">
        <v>427</v>
      </c>
      <c r="B15" s="92" t="s">
        <v>81</v>
      </c>
      <c r="C15" s="134">
        <f>395.98+680.11+175.99+125+86.7+16.98+32+227.92+577.18</f>
        <v>2317.86</v>
      </c>
      <c r="D15" s="13"/>
      <c r="E15" s="13">
        <f>246.99+493.98-246.99+268.99+178.39*3+178.39*2</f>
        <v>1654.9199999999998</v>
      </c>
      <c r="F15" s="13"/>
      <c r="G15" s="341">
        <v>503.95</v>
      </c>
      <c r="H15" s="341"/>
      <c r="I15" s="341">
        <f>103.64</f>
        <v>103.64</v>
      </c>
      <c r="J15" s="341"/>
      <c r="K15" s="9">
        <f t="shared" si="0"/>
        <v>4580.37</v>
      </c>
      <c r="L15" s="95"/>
      <c r="N15" s="84"/>
      <c r="AB15" s="67" t="s">
        <v>82</v>
      </c>
      <c r="AC15" s="68">
        <v>13</v>
      </c>
      <c r="AQ15" s="105"/>
    </row>
    <row r="16" spans="1:43">
      <c r="A16" s="91" t="s">
        <v>83</v>
      </c>
      <c r="B16" s="92" t="s">
        <v>84</v>
      </c>
      <c r="C16" s="19">
        <f>5.99+189.5+3.5+422+1.61+3.68+8.46+12.24</f>
        <v>646.98</v>
      </c>
      <c r="D16" s="13"/>
      <c r="E16" s="13">
        <f>15+25+274+66.5+36.47+152.99+6.63+6.62+11.44+5.78+2.64+135.69+25+26.38+11.1+11.1+14.5+15</f>
        <v>841.84</v>
      </c>
      <c r="F16" s="13"/>
      <c r="G16" s="341">
        <f>37.47+11.1+11.1+31.5+6.2+130+31.5+19.82+28.3+46.4+51+96.27</f>
        <v>500.65999999999997</v>
      </c>
      <c r="H16" s="341"/>
      <c r="I16" s="341"/>
      <c r="J16" s="341"/>
      <c r="K16" s="9">
        <f t="shared" si="0"/>
        <v>1989.48</v>
      </c>
      <c r="L16" s="95"/>
      <c r="N16" s="84"/>
      <c r="AB16" s="67" t="s">
        <v>85</v>
      </c>
      <c r="AC16" s="68">
        <v>12</v>
      </c>
      <c r="AQ16" s="105"/>
    </row>
    <row r="17" spans="1:43">
      <c r="A17" s="85" t="s">
        <v>86</v>
      </c>
      <c r="B17" s="5" t="s">
        <v>87</v>
      </c>
      <c r="C17" s="185">
        <f>C4-C5</f>
        <v>8173.3828107903828</v>
      </c>
      <c r="D17" s="129">
        <f>C17/C4</f>
        <v>0.10346054190873902</v>
      </c>
      <c r="E17" s="327">
        <f>E4-E5</f>
        <v>29889.687188762407</v>
      </c>
      <c r="F17" s="130">
        <f>E17/E4</f>
        <v>0.37835047074382794</v>
      </c>
      <c r="G17" s="327">
        <f>G4-G5</f>
        <v>12004.385490754194</v>
      </c>
      <c r="H17" s="130">
        <f>G17/G4</f>
        <v>0.49674072947675868</v>
      </c>
      <c r="I17" s="327">
        <f>I4-I5</f>
        <v>-1647.9391524571427</v>
      </c>
      <c r="J17" s="130" t="e">
        <f>I17/I4</f>
        <v>#DIV/0!</v>
      </c>
      <c r="K17" s="16">
        <f>K4-K5</f>
        <v>48419.516337849869</v>
      </c>
      <c r="L17" s="102">
        <f>K17/K4</f>
        <v>0.26579842889628802</v>
      </c>
      <c r="N17" s="84"/>
      <c r="AQ17" s="105"/>
    </row>
    <row r="18" spans="1:43" ht="17.25" customHeight="1">
      <c r="A18" s="103"/>
      <c r="B18" s="104"/>
      <c r="C18" s="104"/>
      <c r="D18" s="104"/>
      <c r="E18" s="104"/>
      <c r="F18" s="104"/>
      <c r="G18" s="104"/>
      <c r="H18" s="104"/>
      <c r="I18" s="104"/>
      <c r="J18" s="104"/>
      <c r="L18" s="105"/>
      <c r="N18" s="115" t="s">
        <v>40</v>
      </c>
      <c r="O18" s="551" t="s">
        <v>88</v>
      </c>
      <c r="P18" s="534"/>
      <c r="Q18" s="534"/>
      <c r="R18" s="534"/>
      <c r="S18" s="534"/>
      <c r="T18" s="534"/>
      <c r="U18" s="534"/>
      <c r="V18" s="534"/>
      <c r="W18" s="534"/>
      <c r="X18" s="534"/>
      <c r="Y18" s="535"/>
      <c r="Z18" s="29"/>
      <c r="AB18" s="520" t="s">
        <v>89</v>
      </c>
      <c r="AC18" s="520"/>
      <c r="AE18" s="27" t="s">
        <v>40</v>
      </c>
      <c r="AF18" s="551" t="s">
        <v>90</v>
      </c>
      <c r="AG18" s="534"/>
      <c r="AH18" s="534"/>
      <c r="AI18" s="534"/>
      <c r="AJ18" s="534"/>
      <c r="AK18" s="534"/>
      <c r="AL18" s="534"/>
      <c r="AM18" s="534"/>
      <c r="AN18" s="534"/>
      <c r="AO18" s="534"/>
      <c r="AP18" s="535"/>
      <c r="AQ18" s="117"/>
    </row>
    <row r="19" spans="1:43" ht="24" customHeight="1">
      <c r="A19" s="106" t="s">
        <v>91</v>
      </c>
      <c r="B19" s="4" t="s">
        <v>92</v>
      </c>
      <c r="C19" s="107"/>
      <c r="D19" s="107"/>
      <c r="E19" s="107"/>
      <c r="F19" s="107"/>
      <c r="G19" s="107"/>
      <c r="H19" s="107"/>
      <c r="I19" s="107"/>
      <c r="J19" s="107"/>
      <c r="L19" s="105"/>
      <c r="N19" s="118" t="s">
        <v>45</v>
      </c>
      <c r="O19" s="31" t="s">
        <v>411</v>
      </c>
      <c r="P19" s="32" t="s">
        <v>412</v>
      </c>
      <c r="Q19" s="31" t="s">
        <v>413</v>
      </c>
      <c r="R19" s="32" t="s">
        <v>414</v>
      </c>
      <c r="S19" s="32" t="s">
        <v>415</v>
      </c>
      <c r="T19" s="32"/>
      <c r="U19" s="31"/>
      <c r="V19" s="31"/>
      <c r="W19" s="31"/>
      <c r="X19" s="31"/>
      <c r="Y19" s="31"/>
      <c r="Z19" s="516" t="s">
        <v>51</v>
      </c>
      <c r="AB19" s="69" t="s">
        <v>52</v>
      </c>
      <c r="AC19" s="50">
        <f>11203.95+11903.9</f>
        <v>23107.85</v>
      </c>
      <c r="AE19" s="30" t="s">
        <v>45</v>
      </c>
      <c r="AF19" s="238" t="s">
        <v>411</v>
      </c>
      <c r="AG19" s="190" t="s">
        <v>412</v>
      </c>
      <c r="AH19" s="238" t="s">
        <v>413</v>
      </c>
      <c r="AI19" s="190" t="s">
        <v>414</v>
      </c>
      <c r="AJ19" s="190" t="s">
        <v>415</v>
      </c>
      <c r="AK19" s="190" t="s">
        <v>416</v>
      </c>
      <c r="AL19" s="190" t="s">
        <v>417</v>
      </c>
      <c r="AM19" s="238" t="s">
        <v>418</v>
      </c>
      <c r="AN19" s="238" t="s">
        <v>419</v>
      </c>
      <c r="AO19" s="238" t="str">
        <f>AO4</f>
        <v>15/05-20/05</v>
      </c>
      <c r="AP19" s="31" t="str">
        <f>AP4</f>
        <v>jūnijs</v>
      </c>
      <c r="AQ19" s="518" t="s">
        <v>51</v>
      </c>
    </row>
    <row r="20" spans="1:43" ht="29.25" customHeight="1">
      <c r="A20" s="108" t="s">
        <v>93</v>
      </c>
      <c r="B20" s="3">
        <f>L6/K5*100</f>
        <v>47.412444818249149</v>
      </c>
      <c r="C20" s="109"/>
      <c r="D20" s="109"/>
      <c r="E20" s="109"/>
      <c r="F20" s="109"/>
      <c r="G20" s="345"/>
      <c r="H20" s="345"/>
      <c r="I20" s="345"/>
      <c r="J20" s="345"/>
      <c r="L20" s="105"/>
      <c r="N20" s="118"/>
      <c r="O20" s="70">
        <v>1</v>
      </c>
      <c r="P20" s="70">
        <v>2</v>
      </c>
      <c r="Q20" s="70">
        <v>3</v>
      </c>
      <c r="R20" s="70">
        <v>4</v>
      </c>
      <c r="S20" s="70">
        <v>5</v>
      </c>
      <c r="T20" s="70">
        <v>6</v>
      </c>
      <c r="U20" s="70"/>
      <c r="V20" s="70"/>
      <c r="W20" s="70"/>
      <c r="X20" s="70"/>
      <c r="Y20" s="70"/>
      <c r="Z20" s="517"/>
      <c r="AB20" s="71" t="s">
        <v>55</v>
      </c>
      <c r="AC20" s="77">
        <f>K6+K7</f>
        <v>22778.99</v>
      </c>
      <c r="AE20" s="30"/>
      <c r="AF20" s="70">
        <v>1</v>
      </c>
      <c r="AG20" s="70">
        <v>2</v>
      </c>
      <c r="AH20" s="70">
        <v>3</v>
      </c>
      <c r="AI20" s="70">
        <v>4</v>
      </c>
      <c r="AJ20" s="70">
        <v>5</v>
      </c>
      <c r="AK20" s="70">
        <v>6</v>
      </c>
      <c r="AL20" s="70">
        <v>7</v>
      </c>
      <c r="AM20" s="70">
        <v>8</v>
      </c>
      <c r="AN20" s="70">
        <v>9</v>
      </c>
      <c r="AO20" s="70">
        <v>10</v>
      </c>
      <c r="AP20" s="70">
        <v>11</v>
      </c>
      <c r="AQ20" s="519"/>
    </row>
    <row r="21" spans="1:43">
      <c r="A21" s="110" t="s">
        <v>94</v>
      </c>
      <c r="B21" s="3">
        <f>L9/K5*100</f>
        <v>39.367543817093463</v>
      </c>
      <c r="C21" s="109"/>
      <c r="D21" s="109"/>
      <c r="E21" s="109"/>
      <c r="F21" s="109"/>
      <c r="G21" s="345"/>
      <c r="H21" s="345"/>
      <c r="I21" s="345"/>
      <c r="J21" s="345"/>
      <c r="L21" s="105"/>
      <c r="N21" s="125"/>
      <c r="O21" s="73">
        <f>Z21/5</f>
        <v>4621.57</v>
      </c>
      <c r="P21" s="73">
        <f>O21</f>
        <v>4621.57</v>
      </c>
      <c r="Q21" s="73">
        <f>O21</f>
        <v>4621.57</v>
      </c>
      <c r="R21" s="73">
        <f>Q21</f>
        <v>4621.57</v>
      </c>
      <c r="S21" s="73">
        <f>R21</f>
        <v>4621.57</v>
      </c>
      <c r="T21" s="73"/>
      <c r="U21" s="73"/>
      <c r="V21" s="73"/>
      <c r="W21" s="73"/>
      <c r="X21" s="73"/>
      <c r="Y21" s="73"/>
      <c r="Z21" s="74">
        <f>AC19</f>
        <v>23107.85</v>
      </c>
      <c r="AB21" s="520" t="s">
        <v>90</v>
      </c>
      <c r="AC21" s="520"/>
      <c r="AE21" s="72"/>
      <c r="AF21" s="73">
        <f>AQ21/5</f>
        <v>2780</v>
      </c>
      <c r="AG21" s="73">
        <f>AF21</f>
        <v>2780</v>
      </c>
      <c r="AH21" s="73">
        <f>AF21</f>
        <v>2780</v>
      </c>
      <c r="AI21" s="73">
        <f>AH21</f>
        <v>2780</v>
      </c>
      <c r="AJ21" s="73">
        <f>AI21</f>
        <v>2780</v>
      </c>
      <c r="AK21" s="73"/>
      <c r="AL21" s="73"/>
      <c r="AM21" s="73"/>
      <c r="AN21" s="73"/>
      <c r="AO21" s="73"/>
      <c r="AP21" s="73"/>
      <c r="AQ21" s="126">
        <f>AC22</f>
        <v>13900</v>
      </c>
    </row>
    <row r="22" spans="1:43">
      <c r="A22" s="111" t="s">
        <v>95</v>
      </c>
      <c r="B22" s="2">
        <f>L14/K5*100</f>
        <v>13.220011364657406</v>
      </c>
      <c r="C22" s="109"/>
      <c r="D22" s="109"/>
      <c r="E22" s="109"/>
      <c r="F22" s="109"/>
      <c r="G22" s="345"/>
      <c r="H22" s="345"/>
      <c r="I22" s="345"/>
      <c r="J22" s="345"/>
      <c r="L22" s="105"/>
      <c r="N22" s="125"/>
      <c r="O22" s="75">
        <f>3988.97+4288.67</f>
        <v>8277.64</v>
      </c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328">
        <f t="shared" ref="Z22" si="1">O22+P22+Q22+R22+S22+T22+Y22+U22+V22+W22+X22</f>
        <v>8277.64</v>
      </c>
      <c r="AB22" s="69" t="s">
        <v>52</v>
      </c>
      <c r="AC22" s="50">
        <f>5850+8050</f>
        <v>13900</v>
      </c>
      <c r="AE22" s="72"/>
      <c r="AF22" s="75">
        <f>6000+59.36+395.98+680.11+175.99+86.7+2569.54+16.98</f>
        <v>9984.66</v>
      </c>
      <c r="AG22" s="76">
        <v>125</v>
      </c>
      <c r="AH22" s="76"/>
      <c r="AI22" s="76">
        <v>85</v>
      </c>
      <c r="AJ22" s="76">
        <v>1251.25</v>
      </c>
      <c r="AK22" s="76">
        <f>178.39*3</f>
        <v>535.16999999999996</v>
      </c>
      <c r="AL22" s="76">
        <f>246.99+493.98+268.99-246.99+455.44</f>
        <v>1218.4100000000001</v>
      </c>
      <c r="AM22" s="76">
        <f>540+178.39*2+441</f>
        <v>1337.78</v>
      </c>
      <c r="AN22" s="76"/>
      <c r="AO22" s="76">
        <f>503.95+258</f>
        <v>761.95</v>
      </c>
      <c r="AP22" s="76">
        <v>289</v>
      </c>
      <c r="AQ22" s="166">
        <f>AF22+AG22+AH22+AI22+AJ22+AK22+AP22+AL22+AM22+AN22+AO22</f>
        <v>15588.220000000001</v>
      </c>
    </row>
    <row r="23" spans="1:43">
      <c r="A23" s="84"/>
      <c r="L23" s="105"/>
      <c r="N23" s="84"/>
      <c r="AB23" s="71" t="s">
        <v>55</v>
      </c>
      <c r="AC23" s="77">
        <f>AQ22</f>
        <v>15588.220000000001</v>
      </c>
      <c r="AQ23" s="105"/>
    </row>
    <row r="24" spans="1:43">
      <c r="A24" s="84"/>
      <c r="L24" s="105"/>
      <c r="N24" s="84"/>
      <c r="Z24" s="128"/>
      <c r="AQ24" s="105"/>
    </row>
    <row r="25" spans="1:43" ht="26.25" customHeight="1">
      <c r="A25" s="84"/>
      <c r="L25" s="105"/>
      <c r="N25" s="84"/>
      <c r="AB25" s="10" t="s">
        <v>96</v>
      </c>
      <c r="AC25" s="145">
        <v>42998.720000000001</v>
      </c>
      <c r="AQ25" s="105"/>
    </row>
    <row r="26" spans="1:43" ht="27.75">
      <c r="A26" s="84"/>
      <c r="L26" s="105"/>
      <c r="N26" s="84"/>
      <c r="AB26" s="10" t="s">
        <v>97</v>
      </c>
      <c r="AC26" s="145">
        <f>B36</f>
        <v>21273.589999999997</v>
      </c>
      <c r="AQ26" s="105"/>
    </row>
    <row r="27" spans="1:43">
      <c r="A27" s="84"/>
      <c r="L27" s="105"/>
      <c r="N27" s="84"/>
      <c r="AQ27" s="105"/>
    </row>
    <row r="28" spans="1:43">
      <c r="A28" s="84"/>
      <c r="L28" s="105"/>
      <c r="N28" s="84"/>
      <c r="AQ28" s="105"/>
    </row>
    <row r="29" spans="1:43">
      <c r="A29" s="84"/>
      <c r="L29" s="105"/>
      <c r="N29" s="84"/>
      <c r="AQ29" s="105"/>
    </row>
    <row r="30" spans="1:43">
      <c r="A30" s="84"/>
      <c r="L30" s="105"/>
      <c r="N30" s="84"/>
      <c r="AB30" s="521" t="s">
        <v>98</v>
      </c>
      <c r="AC30" s="522"/>
      <c r="AQ30" s="105"/>
    </row>
    <row r="31" spans="1:43">
      <c r="A31" s="84"/>
      <c r="L31" s="105"/>
      <c r="N31" s="84"/>
      <c r="AB31" s="523">
        <v>45114</v>
      </c>
      <c r="AC31" s="524"/>
      <c r="AQ31" s="105"/>
    </row>
    <row r="32" spans="1:43">
      <c r="A32" s="112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4"/>
      <c r="N32" s="112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525"/>
      <c r="AC32" s="526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4"/>
    </row>
    <row r="36" spans="1:13">
      <c r="A36" s="225" t="s">
        <v>428</v>
      </c>
      <c r="B36" s="254">
        <f>SUM(B37:B42)</f>
        <v>21273.589999999997</v>
      </c>
      <c r="C36">
        <f>11438.4+19456</f>
        <v>30894.400000000001</v>
      </c>
    </row>
    <row r="37" spans="1:13">
      <c r="A37" t="s">
        <v>429</v>
      </c>
      <c r="B37" s="1"/>
      <c r="M37" s="1"/>
    </row>
    <row r="38" spans="1:13">
      <c r="A38" s="252" t="s">
        <v>430</v>
      </c>
      <c r="B38" s="1"/>
    </row>
    <row r="39" spans="1:13">
      <c r="A39" t="s">
        <v>431</v>
      </c>
      <c r="B39" s="1"/>
    </row>
    <row r="40" spans="1:13">
      <c r="A40" t="s">
        <v>432</v>
      </c>
      <c r="B40">
        <f>3417.65+210.04</f>
        <v>3627.69</v>
      </c>
    </row>
    <row r="41" spans="1:13">
      <c r="A41" t="s">
        <v>433</v>
      </c>
      <c r="B41" s="1">
        <f>11500+705+1678.48</f>
        <v>13883.48</v>
      </c>
    </row>
    <row r="42" spans="1:13">
      <c r="A42" t="s">
        <v>434</v>
      </c>
      <c r="B42">
        <f>3475.62+286.8</f>
        <v>3762.42</v>
      </c>
    </row>
  </sheetData>
  <mergeCells count="22">
    <mergeCell ref="AB31:AC32"/>
    <mergeCell ref="I3:J3"/>
    <mergeCell ref="Z19:Z20"/>
    <mergeCell ref="AQ19:AQ20"/>
    <mergeCell ref="AB21:AC21"/>
    <mergeCell ref="AB30:AC30"/>
    <mergeCell ref="B1:AQ1"/>
    <mergeCell ref="Z4:Z5"/>
    <mergeCell ref="AQ4:AQ5"/>
    <mergeCell ref="AB6:AC6"/>
    <mergeCell ref="O18:Y18"/>
    <mergeCell ref="AB18:AC18"/>
    <mergeCell ref="AF18:AP18"/>
    <mergeCell ref="A2:L2"/>
    <mergeCell ref="N2:AQ2"/>
    <mergeCell ref="C3:D3"/>
    <mergeCell ref="E3:F3"/>
    <mergeCell ref="K3:L3"/>
    <mergeCell ref="O3:Y3"/>
    <mergeCell ref="AB3:AC3"/>
    <mergeCell ref="AF3:AP3"/>
    <mergeCell ref="G3:H3"/>
  </mergeCells>
  <conditionalFormatting sqref="AC8">
    <cfRule type="cellIs" dxfId="2" priority="1" operator="greaterThan">
      <formula>$AC$7</formula>
    </cfRule>
  </conditionalFormatting>
  <conditionalFormatting sqref="AC20">
    <cfRule type="cellIs" dxfId="1" priority="3" operator="greaterThan">
      <formula>$AC$19</formula>
    </cfRule>
  </conditionalFormatting>
  <conditionalFormatting sqref="AC23">
    <cfRule type="cellIs" dxfId="0" priority="2" operator="greaterThan">
      <formula>$AC$22</formula>
    </cfRule>
  </conditionalFormatting>
  <pageMargins left="0.7" right="0.7" top="0.75" bottom="0.75" header="0.3" footer="0.3"/>
  <pageSetup paperSize="9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CDC7-B36D-401F-B547-889AE0965017}">
  <sheetPr>
    <pageSetUpPr fitToPage="1"/>
  </sheetPr>
  <dimension ref="A1:AO41"/>
  <sheetViews>
    <sheetView workbookViewId="0">
      <selection activeCell="E13" sqref="E13"/>
    </sheetView>
  </sheetViews>
  <sheetFormatPr defaultRowHeight="15" outlineLevelCol="1"/>
  <cols>
    <col min="1" max="1" width="36.42578125" bestFit="1" customWidth="1"/>
    <col min="2" max="2" width="30.140625" bestFit="1" customWidth="1"/>
    <col min="3" max="5" width="10.7109375" customWidth="1"/>
    <col min="6" max="6" width="10.140625" customWidth="1"/>
    <col min="7" max="7" width="10.7109375" hidden="1" customWidth="1" outlineLevel="1"/>
    <col min="8" max="8" width="10.140625" hidden="1" customWidth="1" outlineLevel="1"/>
    <col min="9" max="9" width="10.7109375" customWidth="1" collapsed="1"/>
    <col min="10" max="10" width="10.7109375" customWidth="1"/>
    <col min="11" max="11" width="3.28515625" customWidth="1"/>
    <col min="12" max="12" width="0.5703125" hidden="1" customWidth="1" outlineLevel="1"/>
    <col min="13" max="13" width="10.7109375" hidden="1" customWidth="1" outlineLevel="1" collapsed="1"/>
    <col min="14" max="17" width="10.7109375" hidden="1" customWidth="1" outlineLevel="1"/>
    <col min="18" max="18" width="9.140625" hidden="1" customWidth="1" outlineLevel="1" collapsed="1"/>
    <col min="19" max="22" width="9.140625" hidden="1" customWidth="1" outlineLevel="1"/>
    <col min="23" max="23" width="2.5703125" hidden="1" customWidth="1" outlineLevel="1"/>
    <col min="24" max="24" width="9.140625" hidden="1" customWidth="1" outlineLevel="1" collapsed="1"/>
    <col min="25" max="25" width="3" hidden="1" customWidth="1" outlineLevel="1" collapsed="1"/>
    <col min="26" max="26" width="23.7109375" customWidth="1" collapsed="1"/>
    <col min="27" max="27" width="18.140625" bestFit="1" customWidth="1"/>
    <col min="28" max="28" width="2.85546875" customWidth="1"/>
    <col min="29" max="29" width="20.7109375" hidden="1" customWidth="1" outlineLevel="1"/>
    <col min="30" max="30" width="10.7109375" customWidth="1" collapsed="1"/>
    <col min="31" max="32" width="10.7109375" customWidth="1"/>
    <col min="33" max="33" width="10.7109375" hidden="1" customWidth="1" outlineLevel="1"/>
    <col min="34" max="39" width="12.7109375" hidden="1" customWidth="1" outlineLevel="1"/>
    <col min="40" max="40" width="2.5703125" hidden="1" customWidth="1" outlineLevel="1"/>
    <col min="41" max="41" width="12.7109375" customWidth="1" collapsed="1"/>
    <col min="42" max="42" width="12.7109375" customWidth="1"/>
  </cols>
  <sheetData>
    <row r="1" spans="1:41" ht="25.5">
      <c r="A1" s="237" t="s">
        <v>435</v>
      </c>
      <c r="B1" s="576" t="s">
        <v>436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237"/>
      <c r="AC1" s="237"/>
      <c r="AD1" s="237"/>
      <c r="AE1" s="237"/>
      <c r="AF1" s="237"/>
      <c r="AG1" s="237"/>
    </row>
    <row r="2" spans="1:41" ht="18.75">
      <c r="A2" s="555" t="s">
        <v>35</v>
      </c>
      <c r="B2" s="556"/>
      <c r="C2" s="556"/>
      <c r="D2" s="556"/>
      <c r="E2" s="556"/>
      <c r="F2" s="556"/>
      <c r="G2" s="556"/>
      <c r="H2" s="556"/>
      <c r="I2" s="556"/>
      <c r="J2" s="557"/>
      <c r="K2" s="7"/>
      <c r="L2" s="558" t="s">
        <v>36</v>
      </c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2"/>
    </row>
    <row r="3" spans="1:41" ht="15.75" customHeight="1">
      <c r="A3" s="84"/>
      <c r="C3" s="561" t="s">
        <v>437</v>
      </c>
      <c r="D3" s="562"/>
      <c r="E3" s="561" t="s">
        <v>410</v>
      </c>
      <c r="F3" s="562"/>
      <c r="G3" s="561"/>
      <c r="H3" s="562"/>
      <c r="I3" s="563" t="s">
        <v>39</v>
      </c>
      <c r="J3" s="564"/>
      <c r="L3" s="115" t="s">
        <v>40</v>
      </c>
      <c r="M3" s="533" t="s">
        <v>41</v>
      </c>
      <c r="N3" s="534"/>
      <c r="O3" s="534"/>
      <c r="P3" s="534"/>
      <c r="Q3" s="534"/>
      <c r="R3" s="534"/>
      <c r="S3" s="534"/>
      <c r="T3" s="534"/>
      <c r="U3" s="534"/>
      <c r="V3" s="534"/>
      <c r="W3" s="535"/>
      <c r="X3" s="28"/>
      <c r="Y3" s="116"/>
      <c r="Z3" s="548" t="s">
        <v>42</v>
      </c>
      <c r="AA3" s="549"/>
      <c r="AB3" s="116"/>
      <c r="AC3" s="27" t="s">
        <v>40</v>
      </c>
      <c r="AD3" s="533" t="s">
        <v>20</v>
      </c>
      <c r="AE3" s="534"/>
      <c r="AF3" s="534"/>
      <c r="AG3" s="534"/>
      <c r="AH3" s="534"/>
      <c r="AI3" s="534"/>
      <c r="AJ3" s="534"/>
      <c r="AK3" s="534"/>
      <c r="AL3" s="534"/>
      <c r="AM3" s="534"/>
      <c r="AN3" s="535"/>
      <c r="AO3" s="117"/>
    </row>
    <row r="4" spans="1:41" ht="16.5" customHeight="1">
      <c r="A4" s="85" t="s">
        <v>43</v>
      </c>
      <c r="B4" s="5" t="s">
        <v>44</v>
      </c>
      <c r="C4" s="83">
        <f>I4/3*2</f>
        <v>37259.973333333335</v>
      </c>
      <c r="E4" s="83">
        <f>AA10/3</f>
        <v>18629.986666666668</v>
      </c>
      <c r="F4" s="161"/>
      <c r="G4" s="83"/>
      <c r="H4" s="161"/>
      <c r="I4" s="144">
        <f>AA10+AA11+G4</f>
        <v>55889.96</v>
      </c>
      <c r="J4" s="86"/>
      <c r="L4" s="118" t="s">
        <v>45</v>
      </c>
      <c r="M4" s="31" t="s">
        <v>438</v>
      </c>
      <c r="N4" s="32" t="s">
        <v>439</v>
      </c>
      <c r="O4" s="31" t="s">
        <v>440</v>
      </c>
      <c r="P4" s="32" t="s">
        <v>441</v>
      </c>
      <c r="Q4" s="32" t="s">
        <v>442</v>
      </c>
      <c r="R4" s="32" t="s">
        <v>443</v>
      </c>
      <c r="S4" s="32"/>
      <c r="T4" s="32"/>
      <c r="U4" s="32"/>
      <c r="V4" s="32"/>
      <c r="W4" s="32"/>
      <c r="X4" s="527" t="s">
        <v>51</v>
      </c>
      <c r="Y4" s="116"/>
      <c r="Z4" s="33" t="s">
        <v>52</v>
      </c>
      <c r="AA4" s="34">
        <f>P6</f>
        <v>1</v>
      </c>
      <c r="AB4" s="116"/>
      <c r="AC4" s="30" t="s">
        <v>45</v>
      </c>
      <c r="AD4" s="31" t="s">
        <v>438</v>
      </c>
      <c r="AE4" s="32" t="s">
        <v>439</v>
      </c>
      <c r="AF4" s="31" t="s">
        <v>440</v>
      </c>
      <c r="AG4" s="32" t="s">
        <v>444</v>
      </c>
      <c r="AH4" s="32" t="str">
        <f>Q4</f>
        <v>18/04-21/04</v>
      </c>
      <c r="AI4" s="32" t="s">
        <v>443</v>
      </c>
      <c r="AJ4" s="32"/>
      <c r="AK4" s="32"/>
      <c r="AL4" s="32"/>
      <c r="AM4" s="32"/>
      <c r="AN4" s="32"/>
      <c r="AO4" s="529" t="s">
        <v>51</v>
      </c>
    </row>
    <row r="5" spans="1:41">
      <c r="A5" s="85" t="s">
        <v>53</v>
      </c>
      <c r="B5" s="5" t="s">
        <v>54</v>
      </c>
      <c r="C5" s="192">
        <f>C6+C7+C8+C9+C10+C11+C13+C14+C16+C15+C12</f>
        <v>20611.500697393334</v>
      </c>
      <c r="D5" s="5"/>
      <c r="E5" s="192">
        <f>E6+E7+E8+E9+E10+E11+E13+E14+E16+E15+E12</f>
        <v>11696.262891946668</v>
      </c>
      <c r="F5" s="12"/>
      <c r="G5" s="192">
        <f>G6+G7+G8+G9+G10+G11+G13+G14+G16+G15+G12</f>
        <v>0</v>
      </c>
      <c r="H5" s="12"/>
      <c r="I5" s="8">
        <f>I6+I7+I8+I9+I10+I11+I13+I14+I16+I15+I12+I17</f>
        <v>32307.76358934</v>
      </c>
      <c r="J5" s="87"/>
      <c r="L5" s="119"/>
      <c r="M5" s="80">
        <v>1</v>
      </c>
      <c r="N5" s="80">
        <v>2</v>
      </c>
      <c r="O5" s="80">
        <v>3</v>
      </c>
      <c r="P5" s="80">
        <v>4</v>
      </c>
      <c r="Q5" s="80">
        <v>5</v>
      </c>
      <c r="R5" s="80">
        <v>6</v>
      </c>
      <c r="S5" s="80"/>
      <c r="T5" s="80"/>
      <c r="U5" s="80"/>
      <c r="V5" s="80"/>
      <c r="W5" s="36"/>
      <c r="X5" s="528"/>
      <c r="Z5" s="37" t="s">
        <v>55</v>
      </c>
      <c r="AA5" s="38">
        <v>1</v>
      </c>
      <c r="AC5" s="35"/>
      <c r="AD5" s="80">
        <v>1</v>
      </c>
      <c r="AE5" s="80">
        <v>2</v>
      </c>
      <c r="AF5" s="80">
        <v>3</v>
      </c>
      <c r="AG5" s="80">
        <v>4</v>
      </c>
      <c r="AH5" s="80">
        <v>5</v>
      </c>
      <c r="AI5" s="80">
        <v>6</v>
      </c>
      <c r="AJ5" s="36">
        <v>7</v>
      </c>
      <c r="AK5" s="36">
        <v>8</v>
      </c>
      <c r="AL5" s="36">
        <v>9</v>
      </c>
      <c r="AM5" s="36">
        <v>10</v>
      </c>
      <c r="AN5" s="36">
        <v>11</v>
      </c>
      <c r="AO5" s="530"/>
    </row>
    <row r="6" spans="1:41">
      <c r="A6" s="88" t="s">
        <v>56</v>
      </c>
      <c r="B6" s="81" t="s">
        <v>57</v>
      </c>
      <c r="C6" s="19">
        <f>842.59+198.19+51.97+16.36+109.71+821.28+142.92+49.99+121.11+85.96+137.47+9.79+97.99+58.48+8.05+29.35+109.98+82.72</f>
        <v>2973.9099999999994</v>
      </c>
      <c r="D6" s="13">
        <f>C6+C7+C8</f>
        <v>4073.1799999999994</v>
      </c>
      <c r="E6" s="142">
        <f>78.58+118.12+11.17+7.99+90.95+97.55+56.6+485</f>
        <v>945.96</v>
      </c>
      <c r="F6" s="13">
        <f>E6+E7+E8</f>
        <v>1938.13</v>
      </c>
      <c r="G6" s="142"/>
      <c r="H6" s="13">
        <f>G6+G7+G8</f>
        <v>0</v>
      </c>
      <c r="I6" s="9">
        <f>C6+E6+G6</f>
        <v>3919.8699999999994</v>
      </c>
      <c r="J6" s="90">
        <f>I6+I7+I8</f>
        <v>6011.3099999999995</v>
      </c>
      <c r="L6" s="120"/>
      <c r="M6" s="39">
        <v>0.3</v>
      </c>
      <c r="N6" s="40">
        <v>0.6</v>
      </c>
      <c r="O6" s="40">
        <v>1</v>
      </c>
      <c r="P6" s="40">
        <v>1</v>
      </c>
      <c r="Q6" s="40"/>
      <c r="R6" s="40"/>
      <c r="S6" s="40"/>
      <c r="T6" s="40"/>
      <c r="U6" s="40"/>
      <c r="V6" s="40"/>
      <c r="W6" s="41"/>
      <c r="X6" s="40">
        <f>P6</f>
        <v>1</v>
      </c>
      <c r="Z6" s="531" t="s">
        <v>58</v>
      </c>
      <c r="AA6" s="532"/>
      <c r="AC6" s="42"/>
      <c r="AD6" s="43">
        <f>AO6/3</f>
        <v>237.28333333333333</v>
      </c>
      <c r="AE6" s="43">
        <f>AD6</f>
        <v>237.28333333333333</v>
      </c>
      <c r="AF6" s="43">
        <f>AD6</f>
        <v>237.28333333333333</v>
      </c>
      <c r="AG6" s="43">
        <f>AO6/4</f>
        <v>177.96250000000001</v>
      </c>
      <c r="AH6" s="43"/>
      <c r="AI6" s="43"/>
      <c r="AJ6" s="44"/>
      <c r="AK6" s="44"/>
      <c r="AL6" s="44"/>
      <c r="AM6" s="44"/>
      <c r="AN6" s="44"/>
      <c r="AO6" s="121">
        <v>711.85</v>
      </c>
    </row>
    <row r="7" spans="1:41">
      <c r="A7" s="91" t="s">
        <v>59</v>
      </c>
      <c r="B7" s="92" t="s">
        <v>60</v>
      </c>
      <c r="C7" s="134"/>
      <c r="D7" s="13"/>
      <c r="E7" s="13">
        <f>380+159</f>
        <v>539</v>
      </c>
      <c r="F7" s="13"/>
      <c r="G7" s="13"/>
      <c r="H7" s="13"/>
      <c r="I7" s="9">
        <f t="shared" ref="I7:I16" si="0">C7+E7+G7</f>
        <v>539</v>
      </c>
      <c r="J7" s="90"/>
      <c r="L7" s="122"/>
      <c r="M7" s="45"/>
      <c r="N7" s="46"/>
      <c r="O7" s="46"/>
      <c r="P7" s="46"/>
      <c r="Q7" s="46"/>
      <c r="R7" s="46"/>
      <c r="S7" s="46"/>
      <c r="T7" s="46"/>
      <c r="U7" s="46"/>
      <c r="V7" s="46"/>
      <c r="W7" s="47"/>
      <c r="X7" s="48">
        <f>R7</f>
        <v>0</v>
      </c>
      <c r="Z7" s="49" t="s">
        <v>52</v>
      </c>
      <c r="AA7" s="50">
        <f>AO6/AA13</f>
        <v>8.5589755921606354</v>
      </c>
      <c r="AC7" s="51"/>
      <c r="AD7" s="52">
        <f>369+36</f>
        <v>405</v>
      </c>
      <c r="AE7" s="53">
        <f>158+270.5</f>
        <v>428.5</v>
      </c>
      <c r="AF7" s="53">
        <v>69</v>
      </c>
      <c r="AG7" s="53"/>
      <c r="AH7" s="53"/>
      <c r="AI7" s="53"/>
      <c r="AJ7" s="54"/>
      <c r="AK7" s="54"/>
      <c r="AL7" s="54"/>
      <c r="AM7" s="54"/>
      <c r="AN7" s="54"/>
      <c r="AO7" s="164">
        <f t="shared" ref="AO7" si="1">AD7+AE7+AF7+AG7+AH7+AI7+AN7+AJ7+AK7+AL7+AM7</f>
        <v>902.5</v>
      </c>
    </row>
    <row r="8" spans="1:41">
      <c r="A8" s="93" t="s">
        <v>61</v>
      </c>
      <c r="B8" s="82" t="s">
        <v>62</v>
      </c>
      <c r="C8" s="155">
        <f>208.39+197.84+316.54+70.6+181.78+64.76+59.36</f>
        <v>1099.27</v>
      </c>
      <c r="D8" s="14"/>
      <c r="E8" s="157">
        <f>75.55+145.71+59.36+76.5+81.77+14.28</f>
        <v>453.16999999999996</v>
      </c>
      <c r="F8" s="14"/>
      <c r="G8" s="157"/>
      <c r="H8" s="14"/>
      <c r="I8" s="9">
        <f t="shared" si="0"/>
        <v>1552.44</v>
      </c>
      <c r="J8" s="95"/>
      <c r="L8" s="124"/>
      <c r="M8" s="55"/>
      <c r="N8" s="55"/>
      <c r="O8" s="55"/>
      <c r="P8" s="56"/>
      <c r="Q8" s="57"/>
      <c r="R8" s="56"/>
      <c r="S8" s="58"/>
      <c r="T8" s="58"/>
      <c r="U8" s="58"/>
      <c r="V8" s="58"/>
      <c r="W8" s="58"/>
      <c r="X8" s="56">
        <f>P8</f>
        <v>0</v>
      </c>
      <c r="Z8" s="59" t="s">
        <v>55</v>
      </c>
      <c r="AA8" s="60">
        <f>AO7/AA13</f>
        <v>10.851268486233016</v>
      </c>
      <c r="AO8" s="105"/>
    </row>
    <row r="9" spans="1:41">
      <c r="A9" s="88" t="s">
        <v>63</v>
      </c>
      <c r="B9" s="81" t="s">
        <v>64</v>
      </c>
      <c r="C9" s="21">
        <f>((14*96.5+14.5*82.5+71*12+80.5*13+80.5*14.5*2)-C13)*1.42</f>
        <v>4260.3549999999996</v>
      </c>
      <c r="D9" s="151">
        <f>C9+C10+C11+C13+C12</f>
        <v>12074.800697393332</v>
      </c>
      <c r="E9" s="160">
        <f>(1592-120)*1.42</f>
        <v>2090.2399999999998</v>
      </c>
      <c r="F9" s="137">
        <f>E9+E10+E11+E13+E12</f>
        <v>7394.092891946666</v>
      </c>
      <c r="G9" s="184"/>
      <c r="H9" s="137">
        <f>G9+G10+G11+G13+G12</f>
        <v>0</v>
      </c>
      <c r="I9" s="24">
        <f t="shared" si="0"/>
        <v>6350.5949999999993</v>
      </c>
      <c r="J9" s="96">
        <f>I9+I10+I11+I13+I12</f>
        <v>19468.893589339998</v>
      </c>
      <c r="L9" s="84"/>
      <c r="AO9" s="105"/>
    </row>
    <row r="10" spans="1:41">
      <c r="A10" s="91" t="s">
        <v>65</v>
      </c>
      <c r="B10" s="92" t="s">
        <v>66</v>
      </c>
      <c r="C10" s="134">
        <f>C9*0.2359</f>
        <v>1005.0177444999999</v>
      </c>
      <c r="D10" s="13"/>
      <c r="E10" s="156">
        <f>E9*0.2359</f>
        <v>493.08761599999997</v>
      </c>
      <c r="F10" s="89"/>
      <c r="G10" s="134">
        <f>G9*0.2359</f>
        <v>0</v>
      </c>
      <c r="H10" s="89"/>
      <c r="I10" s="25">
        <f t="shared" si="0"/>
        <v>1498.1053605</v>
      </c>
      <c r="J10" s="95"/>
      <c r="L10" s="84"/>
      <c r="Z10" s="10" t="s">
        <v>67</v>
      </c>
      <c r="AA10" s="61">
        <v>55889.96</v>
      </c>
      <c r="AO10" s="105"/>
    </row>
    <row r="11" spans="1:41">
      <c r="A11" s="91" t="s">
        <v>68</v>
      </c>
      <c r="B11" s="92" t="s">
        <v>69</v>
      </c>
      <c r="C11" s="134">
        <f>(C9+C10)*0.08</f>
        <v>421.22981955999995</v>
      </c>
      <c r="D11" s="13"/>
      <c r="E11" s="156">
        <f>(E9+E10)*0.08</f>
        <v>206.66620927999998</v>
      </c>
      <c r="F11" s="89"/>
      <c r="G11" s="134">
        <f>(G9+G10)*0.08</f>
        <v>0</v>
      </c>
      <c r="H11" s="89"/>
      <c r="I11" s="25">
        <f t="shared" si="0"/>
        <v>627.89602883999987</v>
      </c>
      <c r="J11" s="95"/>
      <c r="L11" s="84"/>
      <c r="Z11" s="62" t="s">
        <v>70</v>
      </c>
      <c r="AA11" s="63"/>
      <c r="AO11" s="105"/>
    </row>
    <row r="12" spans="1:41">
      <c r="A12" s="97" t="s">
        <v>71</v>
      </c>
      <c r="B12" s="98" t="s">
        <v>72</v>
      </c>
      <c r="C12" s="135">
        <f>(C4)*0.07</f>
        <v>2608.1981333333338</v>
      </c>
      <c r="D12" s="142"/>
      <c r="E12" s="159">
        <f>(E4)*0.07</f>
        <v>1304.0990666666669</v>
      </c>
      <c r="F12" s="131"/>
      <c r="G12" s="135">
        <f>(G13+G11+G10+G9)*0.07</f>
        <v>0</v>
      </c>
      <c r="H12" s="131"/>
      <c r="I12" s="25">
        <f t="shared" si="0"/>
        <v>3912.2972000000009</v>
      </c>
      <c r="J12" s="95"/>
      <c r="L12" s="84"/>
      <c r="AO12" s="105"/>
    </row>
    <row r="13" spans="1:41">
      <c r="A13" s="91" t="s">
        <v>73</v>
      </c>
      <c r="B13" s="92" t="s">
        <v>74</v>
      </c>
      <c r="C13" s="139">
        <f>(40+18+5)*60</f>
        <v>3780</v>
      </c>
      <c r="D13" s="143"/>
      <c r="E13" s="162">
        <v>3300</v>
      </c>
      <c r="F13" s="133"/>
      <c r="G13" s="139"/>
      <c r="H13" s="133"/>
      <c r="I13" s="26">
        <f t="shared" si="0"/>
        <v>7080</v>
      </c>
      <c r="J13" s="99"/>
      <c r="L13" s="84"/>
      <c r="Z13" s="64" t="s">
        <v>75</v>
      </c>
      <c r="AA13" s="65">
        <v>83.17</v>
      </c>
      <c r="AO13" s="105"/>
    </row>
    <row r="14" spans="1:41">
      <c r="A14" s="100" t="s">
        <v>76</v>
      </c>
      <c r="B14" s="81" t="s">
        <v>77</v>
      </c>
      <c r="C14" s="19">
        <f>2826.77+333.88</f>
        <v>3160.65</v>
      </c>
      <c r="D14" s="13">
        <f>C14+C16+C15</f>
        <v>4463.5200000000004</v>
      </c>
      <c r="E14" s="13">
        <f>348.88+158.83+207.06</f>
        <v>714.77</v>
      </c>
      <c r="F14" s="156">
        <f>E14+E16+E15</f>
        <v>2364.04</v>
      </c>
      <c r="G14" s="156"/>
      <c r="H14" s="156">
        <f>G14+G16+G15</f>
        <v>0</v>
      </c>
      <c r="I14" s="9">
        <f t="shared" si="0"/>
        <v>3875.42</v>
      </c>
      <c r="J14" s="95">
        <f>I14+I16+I15+I17</f>
        <v>6827.56</v>
      </c>
      <c r="L14" s="84"/>
      <c r="Z14" s="66" t="s">
        <v>78</v>
      </c>
      <c r="AA14" s="66" t="s">
        <v>79</v>
      </c>
      <c r="AO14" s="105"/>
    </row>
    <row r="15" spans="1:41">
      <c r="A15" s="101" t="s">
        <v>80</v>
      </c>
      <c r="B15" s="92" t="s">
        <v>81</v>
      </c>
      <c r="C15" s="134">
        <f>16.6+94.96+179.29+8.4+560.98</f>
        <v>860.23</v>
      </c>
      <c r="D15" s="13"/>
      <c r="E15" s="13">
        <f>199.98+560.5+13.3*2+3.8+100+49.98</f>
        <v>940.86</v>
      </c>
      <c r="F15" s="13"/>
      <c r="G15" s="13"/>
      <c r="H15" s="13"/>
      <c r="I15" s="9">
        <f t="shared" si="0"/>
        <v>1801.0900000000001</v>
      </c>
      <c r="J15" s="95"/>
      <c r="L15" s="84"/>
      <c r="Z15" s="67" t="s">
        <v>82</v>
      </c>
      <c r="AA15" s="68">
        <v>13</v>
      </c>
      <c r="AO15" s="105"/>
    </row>
    <row r="16" spans="1:41">
      <c r="A16" s="91" t="s">
        <v>83</v>
      </c>
      <c r="B16" s="92" t="s">
        <v>84</v>
      </c>
      <c r="C16" s="19">
        <f>147+4.4+108.23+123.01+60</f>
        <v>442.64</v>
      </c>
      <c r="D16" s="13"/>
      <c r="E16" s="13">
        <f>125+3.9+93.49+26.54+86.11+373.37</f>
        <v>708.41</v>
      </c>
      <c r="F16" s="13"/>
      <c r="G16" s="13"/>
      <c r="H16" s="13"/>
      <c r="I16" s="9">
        <f t="shared" si="0"/>
        <v>1151.05</v>
      </c>
      <c r="J16" s="95"/>
      <c r="L16" s="84"/>
      <c r="Z16" s="67" t="s">
        <v>85</v>
      </c>
      <c r="AA16" s="68">
        <v>12</v>
      </c>
      <c r="AO16" s="105"/>
    </row>
    <row r="17" spans="1:41">
      <c r="A17" s="91"/>
      <c r="B17" s="92"/>
      <c r="C17" s="19"/>
      <c r="D17" s="13"/>
      <c r="E17" s="13"/>
      <c r="F17" s="13"/>
      <c r="G17" s="13"/>
      <c r="H17" s="13"/>
      <c r="I17" s="9"/>
      <c r="J17" s="95"/>
      <c r="L17" s="84"/>
      <c r="Z17" s="202"/>
      <c r="AA17" s="203"/>
      <c r="AO17" s="105"/>
    </row>
    <row r="18" spans="1:41">
      <c r="A18" s="85" t="s">
        <v>86</v>
      </c>
      <c r="B18" s="5" t="s">
        <v>87</v>
      </c>
      <c r="C18" s="185">
        <f>C4-C5</f>
        <v>16648.472635940001</v>
      </c>
      <c r="D18" s="129">
        <f>C18/C4</f>
        <v>0.4468192311089505</v>
      </c>
      <c r="E18" s="185">
        <f>E4-E5</f>
        <v>6933.7237747199997</v>
      </c>
      <c r="F18" s="130">
        <f>E18/E4</f>
        <v>0.37218082324911306</v>
      </c>
      <c r="G18" s="186">
        <f>G4-G5</f>
        <v>0</v>
      </c>
      <c r="H18" s="130" t="e">
        <f>G18/G4</f>
        <v>#DIV/0!</v>
      </c>
      <c r="I18" s="16">
        <f>I4-I5</f>
        <v>23582.196410659999</v>
      </c>
      <c r="J18" s="102">
        <f>I18/I4</f>
        <v>0.421939761822338</v>
      </c>
      <c r="L18" s="84"/>
      <c r="AO18" s="105"/>
    </row>
    <row r="19" spans="1:41" ht="20.25" customHeight="1">
      <c r="A19" s="103"/>
      <c r="B19" s="104"/>
      <c r="C19" s="104"/>
      <c r="D19" s="104"/>
      <c r="E19" s="104"/>
      <c r="F19" s="104"/>
      <c r="G19" s="104"/>
      <c r="H19" s="104"/>
      <c r="J19" s="105"/>
      <c r="L19" s="115" t="s">
        <v>40</v>
      </c>
      <c r="M19" s="533" t="s">
        <v>88</v>
      </c>
      <c r="N19" s="534"/>
      <c r="O19" s="534"/>
      <c r="P19" s="534"/>
      <c r="Q19" s="534"/>
      <c r="R19" s="534"/>
      <c r="S19" s="534"/>
      <c r="T19" s="534"/>
      <c r="U19" s="534"/>
      <c r="V19" s="534"/>
      <c r="W19" s="535"/>
      <c r="X19" s="29"/>
      <c r="Z19" s="520" t="s">
        <v>89</v>
      </c>
      <c r="AA19" s="520"/>
      <c r="AC19" s="27" t="s">
        <v>40</v>
      </c>
      <c r="AD19" s="533" t="s">
        <v>90</v>
      </c>
      <c r="AE19" s="534"/>
      <c r="AF19" s="534"/>
      <c r="AG19" s="534"/>
      <c r="AH19" s="534"/>
      <c r="AI19" s="534"/>
      <c r="AJ19" s="534"/>
      <c r="AK19" s="534"/>
      <c r="AL19" s="534"/>
      <c r="AM19" s="534"/>
      <c r="AN19" s="535"/>
      <c r="AO19" s="117"/>
    </row>
    <row r="20" spans="1:41" ht="24" customHeight="1">
      <c r="A20" s="106" t="s">
        <v>91</v>
      </c>
      <c r="B20" s="4" t="s">
        <v>92</v>
      </c>
      <c r="C20" s="107"/>
      <c r="D20" s="107"/>
      <c r="E20" s="107"/>
      <c r="F20" s="107"/>
      <c r="G20" s="107"/>
      <c r="H20" s="107"/>
      <c r="J20" s="105"/>
      <c r="L20" s="118" t="s">
        <v>45</v>
      </c>
      <c r="M20" s="31" t="s">
        <v>438</v>
      </c>
      <c r="N20" s="32" t="s">
        <v>439</v>
      </c>
      <c r="O20" s="31" t="s">
        <v>440</v>
      </c>
      <c r="P20" s="32" t="s">
        <v>441</v>
      </c>
      <c r="Q20" s="32" t="s">
        <v>442</v>
      </c>
      <c r="R20" s="32" t="str">
        <f>R4</f>
        <v>maijs</v>
      </c>
      <c r="S20" s="31"/>
      <c r="T20" s="31"/>
      <c r="U20" s="31"/>
      <c r="V20" s="31"/>
      <c r="W20" s="31"/>
      <c r="X20" s="516" t="s">
        <v>51</v>
      </c>
      <c r="Z20" s="69" t="s">
        <v>52</v>
      </c>
      <c r="AA20" s="50">
        <v>6517.26</v>
      </c>
      <c r="AC20" s="30" t="s">
        <v>45</v>
      </c>
      <c r="AD20" s="31" t="s">
        <v>438</v>
      </c>
      <c r="AE20" s="32" t="s">
        <v>439</v>
      </c>
      <c r="AF20" s="31" t="s">
        <v>440</v>
      </c>
      <c r="AG20" s="32" t="s">
        <v>444</v>
      </c>
      <c r="AH20" s="32" t="str">
        <f>AH4</f>
        <v>18/04-21/04</v>
      </c>
      <c r="AI20" s="32"/>
      <c r="AJ20" s="31"/>
      <c r="AK20" s="31"/>
      <c r="AL20" s="31"/>
      <c r="AM20" s="31"/>
      <c r="AN20" s="31"/>
      <c r="AO20" s="518" t="s">
        <v>51</v>
      </c>
    </row>
    <row r="21" spans="1:41">
      <c r="A21" s="108" t="s">
        <v>93</v>
      </c>
      <c r="B21" s="3">
        <f>J6/I5*100</f>
        <v>18.606394662314049</v>
      </c>
      <c r="C21" s="109"/>
      <c r="D21" s="109"/>
      <c r="E21" s="109"/>
      <c r="F21" s="109"/>
      <c r="G21" s="109"/>
      <c r="H21" s="109"/>
      <c r="J21" s="105"/>
      <c r="L21" s="118"/>
      <c r="M21" s="70">
        <v>1</v>
      </c>
      <c r="N21" s="70">
        <v>2</v>
      </c>
      <c r="O21" s="70">
        <v>3</v>
      </c>
      <c r="P21" s="70">
        <v>4</v>
      </c>
      <c r="Q21" s="70">
        <v>5</v>
      </c>
      <c r="R21" s="70">
        <v>6</v>
      </c>
      <c r="S21" s="70"/>
      <c r="T21" s="70"/>
      <c r="U21" s="70"/>
      <c r="V21" s="70"/>
      <c r="W21" s="70"/>
      <c r="X21" s="517"/>
      <c r="Z21" s="71" t="s">
        <v>55</v>
      </c>
      <c r="AA21" s="77">
        <f>I6+I7</f>
        <v>4458.869999999999</v>
      </c>
      <c r="AC21" s="30"/>
      <c r="AD21" s="70">
        <v>1</v>
      </c>
      <c r="AE21" s="70">
        <v>2</v>
      </c>
      <c r="AF21" s="70">
        <v>3</v>
      </c>
      <c r="AG21" s="70">
        <v>4</v>
      </c>
      <c r="AH21" s="70">
        <v>5</v>
      </c>
      <c r="AI21" s="70">
        <v>6</v>
      </c>
      <c r="AJ21" s="70">
        <v>7</v>
      </c>
      <c r="AK21" s="70">
        <v>8</v>
      </c>
      <c r="AL21" s="70">
        <v>9</v>
      </c>
      <c r="AM21" s="70">
        <v>10</v>
      </c>
      <c r="AN21" s="70">
        <v>11</v>
      </c>
      <c r="AO21" s="519"/>
    </row>
    <row r="22" spans="1:41">
      <c r="A22" s="110" t="s">
        <v>94</v>
      </c>
      <c r="B22" s="3">
        <f>J9/I5*100</f>
        <v>60.260728154404944</v>
      </c>
      <c r="C22" s="109"/>
      <c r="D22" s="109"/>
      <c r="E22" s="109"/>
      <c r="F22" s="109"/>
      <c r="G22" s="109"/>
      <c r="H22" s="109"/>
      <c r="J22" s="105"/>
      <c r="L22" s="125"/>
      <c r="M22" s="73">
        <f>X22/3</f>
        <v>2172.42</v>
      </c>
      <c r="N22" s="73">
        <f>M22</f>
        <v>2172.42</v>
      </c>
      <c r="O22" s="73">
        <f>M22</f>
        <v>2172.42</v>
      </c>
      <c r="P22" s="73">
        <f>X22/4</f>
        <v>1629.3150000000001</v>
      </c>
      <c r="Q22" s="73"/>
      <c r="R22" s="73"/>
      <c r="S22" s="73"/>
      <c r="T22" s="73"/>
      <c r="U22" s="73"/>
      <c r="V22" s="73"/>
      <c r="W22" s="73"/>
      <c r="X22" s="74">
        <f>AA20</f>
        <v>6517.26</v>
      </c>
      <c r="Z22" s="520" t="s">
        <v>90</v>
      </c>
      <c r="AA22" s="520"/>
      <c r="AC22" s="72"/>
      <c r="AD22" s="73">
        <f>AO22/3</f>
        <v>2533.3333333333335</v>
      </c>
      <c r="AE22" s="73">
        <f>AD22</f>
        <v>2533.3333333333335</v>
      </c>
      <c r="AF22" s="73">
        <f>AD22</f>
        <v>2533.3333333333335</v>
      </c>
      <c r="AG22" s="73">
        <f>AO22/4</f>
        <v>1900</v>
      </c>
      <c r="AH22" s="73"/>
      <c r="AI22" s="73"/>
      <c r="AJ22" s="73"/>
      <c r="AK22" s="73"/>
      <c r="AL22" s="73"/>
      <c r="AM22" s="73"/>
      <c r="AN22" s="73"/>
      <c r="AO22" s="126">
        <f>AA23</f>
        <v>7600</v>
      </c>
    </row>
    <row r="23" spans="1:41">
      <c r="A23" s="111" t="s">
        <v>95</v>
      </c>
      <c r="B23" s="2">
        <f>J14/I5*100</f>
        <v>21.132877183281</v>
      </c>
      <c r="C23" s="109"/>
      <c r="D23" s="109"/>
      <c r="E23" s="109"/>
      <c r="F23" s="109"/>
      <c r="G23" s="109"/>
      <c r="H23" s="109"/>
      <c r="J23" s="105"/>
      <c r="L23" s="125"/>
      <c r="M23" s="75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163">
        <f t="shared" ref="X23" si="2">M23+N23+O23+P23+Q23+R23+W23+S23+T23+U23+V23</f>
        <v>0</v>
      </c>
      <c r="Z23" s="69" t="s">
        <v>52</v>
      </c>
      <c r="AA23" s="50">
        <v>7600</v>
      </c>
      <c r="AC23" s="72"/>
      <c r="AD23" s="75">
        <f>2826.77+333.88+16.6+8.4+560.98</f>
        <v>3746.63</v>
      </c>
      <c r="AE23" s="76">
        <f>199.98+13.3*2+560.5</f>
        <v>787.07999999999993</v>
      </c>
      <c r="AF23" s="76">
        <f>158.83+103.8+560.8+62+49.98+207.06</f>
        <v>1142.47</v>
      </c>
      <c r="AG23" s="76"/>
      <c r="AH23" s="76"/>
      <c r="AI23" s="76"/>
      <c r="AJ23" s="76"/>
      <c r="AK23" s="76"/>
      <c r="AL23" s="76"/>
      <c r="AM23" s="76"/>
      <c r="AN23" s="76"/>
      <c r="AO23" s="166">
        <f>AD23+AE23+AF23+AG23+AH23+AI23+AN23+AJ23+AK23+AL23+AM23</f>
        <v>5676.18</v>
      </c>
    </row>
    <row r="24" spans="1:41">
      <c r="A24" s="84"/>
      <c r="J24" s="105"/>
      <c r="L24" s="84"/>
      <c r="Z24" s="71" t="s">
        <v>55</v>
      </c>
      <c r="AA24" s="77">
        <f>AO23</f>
        <v>5676.18</v>
      </c>
      <c r="AO24" s="105"/>
    </row>
    <row r="25" spans="1:41">
      <c r="A25" s="84"/>
      <c r="J25" s="105"/>
      <c r="L25" s="84"/>
      <c r="X25" s="128"/>
      <c r="AO25" s="105"/>
    </row>
    <row r="26" spans="1:41">
      <c r="A26" s="84"/>
      <c r="J26" s="105"/>
      <c r="L26" s="84"/>
      <c r="Z26" s="10" t="s">
        <v>96</v>
      </c>
      <c r="AA26" s="78"/>
      <c r="AO26" s="105"/>
    </row>
    <row r="27" spans="1:41" ht="27.75">
      <c r="A27" s="84"/>
      <c r="J27" s="105"/>
      <c r="L27" s="84"/>
      <c r="Z27" s="10" t="s">
        <v>97</v>
      </c>
      <c r="AA27" s="78"/>
      <c r="AO27" s="105"/>
    </row>
    <row r="28" spans="1:41">
      <c r="A28" s="84"/>
      <c r="J28" s="105"/>
      <c r="L28" s="84"/>
      <c r="AO28" s="105"/>
    </row>
    <row r="29" spans="1:41">
      <c r="A29" s="84"/>
      <c r="J29" s="105"/>
      <c r="L29" s="84"/>
      <c r="Z29" s="521" t="s">
        <v>98</v>
      </c>
      <c r="AA29" s="522"/>
      <c r="AO29" s="105"/>
    </row>
    <row r="30" spans="1:41">
      <c r="A30" s="84"/>
      <c r="J30" s="105"/>
      <c r="L30" s="84"/>
      <c r="Z30" s="523" t="s">
        <v>445</v>
      </c>
      <c r="AA30" s="524"/>
      <c r="AO30" s="105"/>
    </row>
    <row r="31" spans="1:41">
      <c r="A31" s="112"/>
      <c r="B31" s="113"/>
      <c r="C31" s="113"/>
      <c r="D31" s="113"/>
      <c r="E31" s="113"/>
      <c r="F31" s="113"/>
      <c r="G31" s="113"/>
      <c r="H31" s="113"/>
      <c r="I31" s="113"/>
      <c r="J31" s="114"/>
      <c r="L31" s="112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525"/>
      <c r="AA31" s="526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4"/>
    </row>
    <row r="35" spans="1:11">
      <c r="A35" s="225" t="s">
        <v>428</v>
      </c>
      <c r="B35" s="254">
        <f>B36+B37+B38+B39+B40+B41</f>
        <v>2493.7610239999999</v>
      </c>
    </row>
    <row r="36" spans="1:11">
      <c r="A36" t="s">
        <v>429</v>
      </c>
      <c r="B36" s="249">
        <f>179.29+16.6+333.88+8.4+560.98</f>
        <v>1099.1500000000001</v>
      </c>
      <c r="K36" s="1"/>
    </row>
    <row r="37" spans="1:11">
      <c r="A37" s="252" t="s">
        <v>430</v>
      </c>
      <c r="B37" s="1">
        <f>(16*31.5-300)*1.42*1.2359+204*1.42*1.2359</f>
        <v>716.031024</v>
      </c>
    </row>
    <row r="38" spans="1:11">
      <c r="A38" t="s">
        <v>431</v>
      </c>
      <c r="B38" s="1">
        <f>300+300</f>
        <v>600</v>
      </c>
    </row>
    <row r="39" spans="1:11">
      <c r="A39" t="s">
        <v>432</v>
      </c>
      <c r="B39">
        <f>78.58</f>
        <v>78.58</v>
      </c>
    </row>
    <row r="40" spans="1:11">
      <c r="A40" t="s">
        <v>446</v>
      </c>
      <c r="B40" s="222"/>
    </row>
    <row r="41" spans="1:11">
      <c r="A41" t="s">
        <v>434</v>
      </c>
      <c r="B41" s="222"/>
    </row>
  </sheetData>
  <mergeCells count="21">
    <mergeCell ref="Z30:AA31"/>
    <mergeCell ref="G3:H3"/>
    <mergeCell ref="X20:X21"/>
    <mergeCell ref="AO20:AO21"/>
    <mergeCell ref="Z22:AA22"/>
    <mergeCell ref="Z29:AA29"/>
    <mergeCell ref="B1:AA1"/>
    <mergeCell ref="X4:X5"/>
    <mergeCell ref="AO4:AO5"/>
    <mergeCell ref="Z6:AA6"/>
    <mergeCell ref="M19:W19"/>
    <mergeCell ref="Z19:AA19"/>
    <mergeCell ref="AD19:AN19"/>
    <mergeCell ref="A2:J2"/>
    <mergeCell ref="L2:AO2"/>
    <mergeCell ref="C3:D3"/>
    <mergeCell ref="E3:F3"/>
    <mergeCell ref="I3:J3"/>
    <mergeCell ref="M3:W3"/>
    <mergeCell ref="Z3:AA3"/>
    <mergeCell ref="AD3:AN3"/>
  </mergeCells>
  <pageMargins left="0.7" right="0.7" top="0.75" bottom="0.75" header="0.3" footer="0.3"/>
  <pageSetup paperSize="9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DCB5F-B3AE-4BFD-AB16-F7B83C685522}">
  <sheetPr>
    <pageSetUpPr fitToPage="1"/>
  </sheetPr>
  <dimension ref="A1:AM37"/>
  <sheetViews>
    <sheetView workbookViewId="0">
      <selection activeCell="C13" sqref="C13"/>
    </sheetView>
  </sheetViews>
  <sheetFormatPr defaultRowHeight="15" outlineLevelCol="2"/>
  <cols>
    <col min="1" max="1" width="36.42578125" bestFit="1" customWidth="1"/>
    <col min="2" max="2" width="30.140625" bestFit="1" customWidth="1"/>
    <col min="3" max="4" width="10.7109375" customWidth="1"/>
    <col min="5" max="5" width="10.7109375" hidden="1" customWidth="1" outlineLevel="1"/>
    <col min="6" max="6" width="10.140625" hidden="1" customWidth="1" outlineLevel="1"/>
    <col min="7" max="7" width="10.7109375" hidden="1" customWidth="1" outlineLevel="1" collapsed="1"/>
    <col min="8" max="8" width="10.7109375" hidden="1" customWidth="1" outlineLevel="1"/>
    <col min="9" max="9" width="3.28515625" customWidth="1" collapsed="1"/>
    <col min="10" max="10" width="0.5703125" hidden="1" customWidth="1" outlineLevel="1"/>
    <col min="11" max="11" width="20.7109375" hidden="1" customWidth="1" outlineLevel="1" collapsed="1"/>
    <col min="12" max="15" width="10.7109375" hidden="1" customWidth="1" outlineLevel="2"/>
    <col min="16" max="21" width="9.140625" hidden="1" customWidth="1" outlineLevel="2"/>
    <col min="22" max="22" width="9.140625" hidden="1" customWidth="1" outlineLevel="1" collapsed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20.7109375" customWidth="1" collapsed="1"/>
    <col min="29" max="31" width="10.7109375" hidden="1" customWidth="1" outlineLevel="1"/>
    <col min="32" max="38" width="12.7109375" hidden="1" customWidth="1" outlineLevel="1"/>
    <col min="39" max="39" width="12.7109375" customWidth="1" collapsed="1"/>
    <col min="40" max="40" width="12.7109375" customWidth="1"/>
  </cols>
  <sheetData>
    <row r="1" spans="1:39" ht="25.5">
      <c r="A1" s="237" t="s">
        <v>447</v>
      </c>
      <c r="B1" s="576" t="s">
        <v>448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</row>
    <row r="2" spans="1:39" ht="18.75">
      <c r="A2" s="537" t="s">
        <v>35</v>
      </c>
      <c r="B2" s="574"/>
      <c r="C2" s="574"/>
      <c r="D2" s="574"/>
      <c r="E2" s="574"/>
      <c r="F2" s="574"/>
      <c r="G2" s="574"/>
      <c r="H2" s="575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</row>
    <row r="3" spans="1:39" ht="30" customHeight="1">
      <c r="A3" s="257"/>
      <c r="B3" s="258"/>
      <c r="C3" s="543"/>
      <c r="D3" s="581"/>
      <c r="E3" s="589" t="s">
        <v>449</v>
      </c>
      <c r="F3" s="544"/>
      <c r="G3" s="545" t="s">
        <v>39</v>
      </c>
      <c r="H3" s="546"/>
      <c r="J3" s="177" t="s">
        <v>40</v>
      </c>
      <c r="K3" s="603" t="s">
        <v>41</v>
      </c>
      <c r="L3" s="604"/>
      <c r="M3" s="604"/>
      <c r="N3" s="604"/>
      <c r="O3" s="604"/>
      <c r="P3" s="604"/>
      <c r="Q3" s="604"/>
      <c r="R3" s="604"/>
      <c r="S3" s="604"/>
      <c r="T3" s="604"/>
      <c r="U3" s="605"/>
      <c r="V3" s="256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39" ht="14.25" customHeight="1">
      <c r="A4" s="259" t="s">
        <v>43</v>
      </c>
      <c r="B4" s="5" t="s">
        <v>44</v>
      </c>
      <c r="C4" s="253">
        <f>G4</f>
        <v>5650</v>
      </c>
      <c r="D4" s="11"/>
      <c r="E4" s="267"/>
      <c r="F4" s="11"/>
      <c r="G4" s="144">
        <f>Y10+Y11</f>
        <v>5650</v>
      </c>
      <c r="H4" s="86">
        <f>D4+F4</f>
        <v>0</v>
      </c>
      <c r="J4" s="178" t="s">
        <v>45</v>
      </c>
      <c r="K4" s="188" t="s">
        <v>450</v>
      </c>
      <c r="L4" s="31"/>
      <c r="M4" s="31"/>
      <c r="N4" s="32"/>
      <c r="O4" s="32"/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V6</f>
        <v>1</v>
      </c>
      <c r="Z4" s="116"/>
      <c r="AA4" s="30" t="s">
        <v>45</v>
      </c>
      <c r="AB4" s="31" t="str">
        <f>K4</f>
        <v>06/02-09/02</v>
      </c>
      <c r="AC4" s="31"/>
      <c r="AD4" s="31"/>
      <c r="AE4" s="32"/>
      <c r="AF4" s="32"/>
      <c r="AG4" s="32"/>
      <c r="AH4" s="32"/>
      <c r="AI4" s="32"/>
      <c r="AJ4" s="32"/>
      <c r="AK4" s="32"/>
      <c r="AL4" s="32"/>
      <c r="AM4" s="529" t="s">
        <v>51</v>
      </c>
    </row>
    <row r="5" spans="1:39">
      <c r="A5" s="259" t="s">
        <v>53</v>
      </c>
      <c r="B5" s="5" t="s">
        <v>54</v>
      </c>
      <c r="C5" s="192">
        <f>C6+C7+C8+C9+C10+C11+C13+C14+C16+C15+C12</f>
        <v>5819.7439672399996</v>
      </c>
      <c r="D5" s="12"/>
      <c r="E5" s="12">
        <f>E6+E7+E8+E9+E10+E11+E13+E14+E16+E15+E12</f>
        <v>0</v>
      </c>
      <c r="F5" s="12"/>
      <c r="G5" s="194">
        <f>G6+G7+G8+G9+G10+G11+G13+G14+G16+G15+G12</f>
        <v>5819.7439672399996</v>
      </c>
      <c r="H5" s="87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V7</f>
        <v>1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39">
      <c r="A6" s="260" t="s">
        <v>56</v>
      </c>
      <c r="B6" s="81" t="s">
        <v>57</v>
      </c>
      <c r="C6" s="19">
        <f>45.99+113.73+55.67+395.53</f>
        <v>610.91999999999996</v>
      </c>
      <c r="D6" s="13">
        <f>C6+C7+C8</f>
        <v>610.91999999999996</v>
      </c>
      <c r="E6" s="13"/>
      <c r="F6" s="13">
        <f>E6+E7+E8</f>
        <v>0</v>
      </c>
      <c r="G6" s="9">
        <f>C6+E6</f>
        <v>610.91999999999996</v>
      </c>
      <c r="H6" s="90">
        <f>G6+G7+G8</f>
        <v>610.91999999999996</v>
      </c>
      <c r="J6" s="180"/>
      <c r="K6" s="40">
        <v>1</v>
      </c>
      <c r="L6" s="40"/>
      <c r="M6" s="40"/>
      <c r="N6" s="40"/>
      <c r="O6" s="40"/>
      <c r="P6" s="40"/>
      <c r="Q6" s="40"/>
      <c r="R6" s="40"/>
      <c r="S6" s="40"/>
      <c r="T6" s="40"/>
      <c r="U6" s="41"/>
      <c r="V6" s="40">
        <f>K6</f>
        <v>1</v>
      </c>
      <c r="X6" s="531" t="s">
        <v>58</v>
      </c>
      <c r="Y6" s="532"/>
      <c r="AA6" s="42"/>
      <c r="AB6" s="43">
        <f>AM6/4</f>
        <v>0</v>
      </c>
      <c r="AC6" s="43">
        <f>AB6</f>
        <v>0</v>
      </c>
      <c r="AD6" s="43">
        <f>AB6</f>
        <v>0</v>
      </c>
      <c r="AE6" s="43">
        <f>AM6/4</f>
        <v>0</v>
      </c>
      <c r="AF6" s="43"/>
      <c r="AG6" s="43"/>
      <c r="AH6" s="44"/>
      <c r="AI6" s="44"/>
      <c r="AJ6" s="44"/>
      <c r="AK6" s="44"/>
      <c r="AL6" s="44"/>
      <c r="AM6" s="121"/>
    </row>
    <row r="7" spans="1:39">
      <c r="A7" s="261" t="s">
        <v>59</v>
      </c>
      <c r="B7" s="92" t="s">
        <v>60</v>
      </c>
      <c r="C7" s="19"/>
      <c r="D7" s="13"/>
      <c r="E7" s="13"/>
      <c r="F7" s="13"/>
      <c r="G7" s="9">
        <f t="shared" ref="G7:G16" si="0">C7+E7</f>
        <v>0</v>
      </c>
      <c r="H7" s="90"/>
      <c r="J7" s="181"/>
      <c r="K7" s="48">
        <v>1</v>
      </c>
      <c r="L7" s="46"/>
      <c r="M7" s="46"/>
      <c r="N7" s="46"/>
      <c r="O7" s="46"/>
      <c r="P7" s="46"/>
      <c r="Q7" s="46"/>
      <c r="R7" s="46"/>
      <c r="S7" s="46"/>
      <c r="T7" s="46"/>
      <c r="U7" s="47"/>
      <c r="V7" s="48">
        <f>K7</f>
        <v>1</v>
      </c>
      <c r="X7" s="49" t="s">
        <v>52</v>
      </c>
      <c r="Y7" s="50" t="e">
        <f>AM6/Y13</f>
        <v>#DIV/0!</v>
      </c>
      <c r="AA7" s="51"/>
      <c r="AB7" s="52"/>
      <c r="AC7" s="53"/>
      <c r="AD7" s="53"/>
      <c r="AE7" s="53"/>
      <c r="AF7" s="53"/>
      <c r="AG7" s="53"/>
      <c r="AH7" s="54"/>
      <c r="AI7" s="54"/>
      <c r="AJ7" s="54"/>
      <c r="AK7" s="54"/>
      <c r="AL7" s="54"/>
      <c r="AM7" s="164">
        <f t="shared" ref="AM7" si="1">AB7+AC7+AD7+AE7+AF7+AG7+AL7+AH7+AI7+AJ7+AK7</f>
        <v>0</v>
      </c>
    </row>
    <row r="8" spans="1:39">
      <c r="A8" s="262" t="s">
        <v>61</v>
      </c>
      <c r="B8" s="82" t="s">
        <v>62</v>
      </c>
      <c r="C8" s="158"/>
      <c r="D8" s="14"/>
      <c r="E8" s="14"/>
      <c r="F8" s="14"/>
      <c r="G8" s="9">
        <f>C8+E8</f>
        <v>0</v>
      </c>
      <c r="H8" s="95"/>
      <c r="J8" s="182"/>
      <c r="K8" s="56">
        <f>Y11/Y10</f>
        <v>0</v>
      </c>
      <c r="L8" s="55"/>
      <c r="M8" s="55"/>
      <c r="N8" s="56"/>
      <c r="O8" s="57"/>
      <c r="P8" s="56"/>
      <c r="Q8" s="58"/>
      <c r="R8" s="58"/>
      <c r="S8" s="58"/>
      <c r="T8" s="58"/>
      <c r="U8" s="58"/>
      <c r="V8" s="56">
        <f>K8</f>
        <v>0</v>
      </c>
      <c r="X8" s="59" t="s">
        <v>55</v>
      </c>
      <c r="Y8" s="60" t="e">
        <f>AM7/Y13</f>
        <v>#DIV/0!</v>
      </c>
      <c r="AM8" s="105"/>
    </row>
    <row r="9" spans="1:39">
      <c r="A9" s="260" t="s">
        <v>63</v>
      </c>
      <c r="B9" s="81" t="s">
        <v>64</v>
      </c>
      <c r="C9" s="169">
        <f>((41.5*15.5+16*7.75+36*14.5+15*7.25+36*13+15*6.5)-C13)*1.42+180</f>
        <v>1548.1699999999998</v>
      </c>
      <c r="D9" s="151">
        <f>C9+C10+C11+C13+C12</f>
        <v>3461.9539672399997</v>
      </c>
      <c r="E9" s="141"/>
      <c r="F9" s="6">
        <f>E9+E10+E11+E13+E12</f>
        <v>0</v>
      </c>
      <c r="G9" s="24">
        <f>C9+E9</f>
        <v>1548.1699999999998</v>
      </c>
      <c r="H9" s="96">
        <f>G9+G10+G11+G13+G12</f>
        <v>3461.9539672399997</v>
      </c>
      <c r="J9" s="84"/>
      <c r="AM9" s="105"/>
    </row>
    <row r="10" spans="1:39">
      <c r="A10" s="261" t="s">
        <v>65</v>
      </c>
      <c r="B10" s="92" t="s">
        <v>66</v>
      </c>
      <c r="C10" s="134">
        <f>C9*0.2359</f>
        <v>365.21330299999994</v>
      </c>
      <c r="D10" s="13"/>
      <c r="E10" s="13">
        <f>E9*0.2359</f>
        <v>0</v>
      </c>
      <c r="F10" s="89"/>
      <c r="G10" s="25">
        <f t="shared" si="0"/>
        <v>365.21330299999994</v>
      </c>
      <c r="H10" s="95"/>
      <c r="J10" s="84"/>
      <c r="X10" s="10" t="s">
        <v>67</v>
      </c>
      <c r="Y10" s="146">
        <v>5650</v>
      </c>
      <c r="AM10" s="105"/>
    </row>
    <row r="11" spans="1:39">
      <c r="A11" s="261" t="s">
        <v>68</v>
      </c>
      <c r="B11" s="92" t="s">
        <v>69</v>
      </c>
      <c r="C11" s="134">
        <f>(C9+C10)*0.08</f>
        <v>153.07066423999999</v>
      </c>
      <c r="D11" s="13"/>
      <c r="E11" s="13">
        <f>(E9+E10)*0.08</f>
        <v>0</v>
      </c>
      <c r="F11" s="89"/>
      <c r="G11" s="25">
        <f t="shared" si="0"/>
        <v>153.07066423999999</v>
      </c>
      <c r="H11" s="95"/>
      <c r="J11" s="84"/>
      <c r="X11" s="62" t="s">
        <v>70</v>
      </c>
      <c r="Y11" s="63"/>
      <c r="AM11" s="105"/>
    </row>
    <row r="12" spans="1:39">
      <c r="A12" s="263" t="s">
        <v>71</v>
      </c>
      <c r="B12" s="98" t="s">
        <v>72</v>
      </c>
      <c r="C12" s="135">
        <f>(C4)*0.07</f>
        <v>395.50000000000006</v>
      </c>
      <c r="D12" s="142"/>
      <c r="E12" s="142">
        <f>(E13+E11+E10+E9)*0.07</f>
        <v>0</v>
      </c>
      <c r="F12" s="131"/>
      <c r="G12" s="25">
        <f t="shared" si="0"/>
        <v>395.50000000000006</v>
      </c>
      <c r="H12" s="95"/>
      <c r="J12" s="84"/>
      <c r="AM12" s="105"/>
    </row>
    <row r="13" spans="1:39">
      <c r="A13" s="261" t="s">
        <v>73</v>
      </c>
      <c r="B13" s="92" t="s">
        <v>74</v>
      </c>
      <c r="C13" s="139">
        <f>4*5*50</f>
        <v>1000</v>
      </c>
      <c r="D13" s="143"/>
      <c r="E13" s="143"/>
      <c r="F13" s="133"/>
      <c r="G13" s="26">
        <f t="shared" si="0"/>
        <v>1000</v>
      </c>
      <c r="H13" s="99"/>
      <c r="J13" s="84"/>
      <c r="X13" s="64" t="s">
        <v>75</v>
      </c>
      <c r="Y13" s="65"/>
      <c r="AM13" s="105"/>
    </row>
    <row r="14" spans="1:39">
      <c r="A14" s="264" t="s">
        <v>76</v>
      </c>
      <c r="B14" s="81" t="s">
        <v>77</v>
      </c>
      <c r="C14" s="135">
        <f>406.31+229.82+10</f>
        <v>646.13</v>
      </c>
      <c r="D14" s="156">
        <f>C14+C16+C15</f>
        <v>1746.87</v>
      </c>
      <c r="E14" s="13"/>
      <c r="F14" s="13">
        <f>E14+E16+E15</f>
        <v>0</v>
      </c>
      <c r="G14" s="9">
        <f t="shared" si="0"/>
        <v>646.13</v>
      </c>
      <c r="H14" s="95">
        <f>G14+G16+G15</f>
        <v>1746.87</v>
      </c>
      <c r="J14" s="84"/>
      <c r="X14" s="66" t="s">
        <v>78</v>
      </c>
      <c r="Y14" s="66" t="s">
        <v>79</v>
      </c>
      <c r="AM14" s="105"/>
    </row>
    <row r="15" spans="1:39">
      <c r="A15" s="265" t="s">
        <v>80</v>
      </c>
      <c r="B15" s="92" t="s">
        <v>81</v>
      </c>
      <c r="C15" s="134">
        <f>1089.9+5.97+4.87</f>
        <v>1100.74</v>
      </c>
      <c r="D15" s="156"/>
      <c r="E15" s="13"/>
      <c r="F15" s="13"/>
      <c r="G15" s="9">
        <f t="shared" si="0"/>
        <v>1100.74</v>
      </c>
      <c r="H15" s="95"/>
      <c r="J15" s="84"/>
      <c r="X15" s="67" t="s">
        <v>82</v>
      </c>
      <c r="Y15" s="68">
        <v>13</v>
      </c>
      <c r="AM15" s="105"/>
    </row>
    <row r="16" spans="1:39">
      <c r="A16" s="261" t="s">
        <v>83</v>
      </c>
      <c r="B16" s="92" t="s">
        <v>84</v>
      </c>
      <c r="C16" s="19"/>
      <c r="D16" s="13"/>
      <c r="E16" s="13"/>
      <c r="F16" s="13"/>
      <c r="G16" s="9">
        <f t="shared" si="0"/>
        <v>0</v>
      </c>
      <c r="H16" s="95"/>
      <c r="J16" s="84"/>
      <c r="X16" s="67" t="s">
        <v>85</v>
      </c>
      <c r="Y16" s="68">
        <v>12</v>
      </c>
      <c r="AM16" s="105"/>
    </row>
    <row r="17" spans="1:39">
      <c r="A17" s="266" t="s">
        <v>86</v>
      </c>
      <c r="B17" s="251" t="s">
        <v>87</v>
      </c>
      <c r="C17" s="185">
        <f>C4-C5</f>
        <v>-169.74396723999962</v>
      </c>
      <c r="D17" s="130">
        <f>C17/C4</f>
        <v>-3.0043180042477809E-2</v>
      </c>
      <c r="E17" s="15">
        <f>E4-E5</f>
        <v>0</v>
      </c>
      <c r="F17" s="15" t="e">
        <f>E17/E4</f>
        <v>#DIV/0!</v>
      </c>
      <c r="G17" s="16">
        <f>G4-G5</f>
        <v>-169.74396723999962</v>
      </c>
      <c r="H17" s="102">
        <f>G17/G4</f>
        <v>-3.0043180042477809E-2</v>
      </c>
      <c r="J17" s="84"/>
      <c r="AM17" s="105"/>
    </row>
    <row r="18" spans="1:39" ht="30" customHeight="1">
      <c r="A18" s="103"/>
      <c r="B18" s="104"/>
      <c r="C18" s="104"/>
      <c r="D18" s="104"/>
      <c r="E18" s="104"/>
      <c r="F18" s="104"/>
      <c r="H18" s="105"/>
      <c r="J18" s="115" t="s">
        <v>40</v>
      </c>
      <c r="K18" s="551" t="s">
        <v>88</v>
      </c>
      <c r="L18" s="552"/>
      <c r="M18" s="552"/>
      <c r="N18" s="552"/>
      <c r="O18" s="552"/>
      <c r="P18" s="552"/>
      <c r="Q18" s="552"/>
      <c r="R18" s="552"/>
      <c r="S18" s="552"/>
      <c r="T18" s="552"/>
      <c r="U18" s="553"/>
      <c r="V18" s="29"/>
      <c r="X18" s="601" t="s">
        <v>89</v>
      </c>
      <c r="Y18" s="602"/>
      <c r="AA18" s="27" t="s">
        <v>40</v>
      </c>
      <c r="AB18" s="533" t="s">
        <v>90</v>
      </c>
      <c r="AC18" s="534"/>
      <c r="AD18" s="534"/>
      <c r="AE18" s="534"/>
      <c r="AF18" s="534"/>
      <c r="AG18" s="534"/>
      <c r="AH18" s="534"/>
      <c r="AI18" s="534"/>
      <c r="AJ18" s="534"/>
      <c r="AK18" s="534"/>
      <c r="AL18" s="535"/>
      <c r="AM18" s="117"/>
    </row>
    <row r="19" spans="1:39" ht="15.75" customHeight="1">
      <c r="A19" s="106" t="s">
        <v>91</v>
      </c>
      <c r="B19" s="4" t="s">
        <v>92</v>
      </c>
      <c r="C19" s="107"/>
      <c r="D19" s="107"/>
      <c r="E19" s="107"/>
      <c r="F19" s="107"/>
      <c r="H19" s="105"/>
      <c r="J19" s="118" t="s">
        <v>45</v>
      </c>
      <c r="K19" s="31" t="str">
        <f>K4</f>
        <v>06/02-09/02</v>
      </c>
      <c r="L19" s="31"/>
      <c r="M19" s="31"/>
      <c r="N19" s="32"/>
      <c r="O19" s="32"/>
      <c r="P19" s="32"/>
      <c r="Q19" s="31"/>
      <c r="R19" s="31"/>
      <c r="S19" s="31"/>
      <c r="T19" s="31"/>
      <c r="U19" s="31"/>
      <c r="V19" s="516" t="s">
        <v>51</v>
      </c>
      <c r="X19" s="268" t="s">
        <v>52</v>
      </c>
      <c r="Y19" s="269">
        <f>V21</f>
        <v>0</v>
      </c>
      <c r="AA19" s="30" t="s">
        <v>45</v>
      </c>
      <c r="AB19" s="31" t="str">
        <f>K19</f>
        <v>06/02-09/02</v>
      </c>
      <c r="AC19" s="31"/>
      <c r="AD19" s="31"/>
      <c r="AE19" s="32"/>
      <c r="AF19" s="32"/>
      <c r="AG19" s="32"/>
      <c r="AH19" s="31"/>
      <c r="AI19" s="31"/>
      <c r="AJ19" s="31"/>
      <c r="AK19" s="31"/>
      <c r="AL19" s="31"/>
      <c r="AM19" s="518" t="s">
        <v>51</v>
      </c>
    </row>
    <row r="20" spans="1:39">
      <c r="A20" s="108" t="s">
        <v>93</v>
      </c>
      <c r="B20" s="3">
        <f>H6/G5*100</f>
        <v>10.497369015526079</v>
      </c>
      <c r="C20" s="109"/>
      <c r="D20" s="109"/>
      <c r="E20" s="109"/>
      <c r="F20" s="109"/>
      <c r="H20" s="105"/>
      <c r="J20" s="118"/>
      <c r="K20" s="70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/>
      <c r="R20" s="70"/>
      <c r="S20" s="70"/>
      <c r="T20" s="70"/>
      <c r="U20" s="70"/>
      <c r="V20" s="517"/>
      <c r="X20" s="270" t="s">
        <v>55</v>
      </c>
      <c r="Y20" s="271">
        <f>V22</f>
        <v>610.91999999999996</v>
      </c>
      <c r="AA20" s="30"/>
      <c r="AB20" s="70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70">
        <v>11</v>
      </c>
      <c r="AM20" s="519"/>
    </row>
    <row r="21" spans="1:39">
      <c r="A21" s="110" t="s">
        <v>94</v>
      </c>
      <c r="B21" s="3">
        <f>H9/G5*100</f>
        <v>59.486362058670139</v>
      </c>
      <c r="C21" s="109"/>
      <c r="D21" s="109"/>
      <c r="E21" s="109"/>
      <c r="F21" s="109"/>
      <c r="H21" s="105"/>
      <c r="J21" s="125"/>
      <c r="K21" s="73">
        <f>V21/4</f>
        <v>0</v>
      </c>
      <c r="L21" s="73">
        <f>K21</f>
        <v>0</v>
      </c>
      <c r="M21" s="73">
        <f>K21</f>
        <v>0</v>
      </c>
      <c r="N21" s="73">
        <f>V21/4</f>
        <v>0</v>
      </c>
      <c r="O21" s="73"/>
      <c r="P21" s="73"/>
      <c r="Q21" s="73"/>
      <c r="R21" s="73"/>
      <c r="S21" s="73"/>
      <c r="T21" s="73"/>
      <c r="U21" s="73"/>
      <c r="V21" s="74"/>
      <c r="X21" s="599" t="s">
        <v>90</v>
      </c>
      <c r="Y21" s="600"/>
      <c r="AA21" s="72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126">
        <f>Y22</f>
        <v>0</v>
      </c>
    </row>
    <row r="22" spans="1:39">
      <c r="A22" s="111" t="s">
        <v>95</v>
      </c>
      <c r="B22" s="2">
        <f>H14/G5*100</f>
        <v>30.016268925803775</v>
      </c>
      <c r="C22" s="109"/>
      <c r="D22" s="109"/>
      <c r="E22" s="109"/>
      <c r="F22" s="109"/>
      <c r="H22" s="105"/>
      <c r="J22" s="125"/>
      <c r="K22" s="75">
        <f>D6</f>
        <v>610.91999999999996</v>
      </c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63">
        <f t="shared" ref="V22" si="2">K22+L22+M22+N22+O22+P22+U22+Q22+R22+S22+T22</f>
        <v>610.91999999999996</v>
      </c>
      <c r="X22" s="268" t="s">
        <v>52</v>
      </c>
      <c r="Y22" s="269"/>
      <c r="AA22" s="72"/>
      <c r="AB22" s="75">
        <f>406.81+1089.9+5.97+229.82+10</f>
        <v>1742.5</v>
      </c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165">
        <f t="shared" ref="AM22" si="3">AB22+AC22+AD22+AE22+AF22+AG22+AL22+AH22+AI22+AJ22+AK22</f>
        <v>1742.5</v>
      </c>
    </row>
    <row r="23" spans="1:39">
      <c r="A23" s="84"/>
      <c r="H23" s="105"/>
      <c r="J23" s="84"/>
      <c r="X23" s="272" t="s">
        <v>55</v>
      </c>
      <c r="Y23" s="273">
        <f>AM22</f>
        <v>1742.5</v>
      </c>
      <c r="AM23" s="105"/>
    </row>
    <row r="24" spans="1:39">
      <c r="A24" s="84"/>
      <c r="H24" s="105"/>
      <c r="J24" s="84"/>
      <c r="V24" s="128"/>
      <c r="AM24" s="105"/>
    </row>
    <row r="25" spans="1:39">
      <c r="A25" s="84"/>
      <c r="H25" s="105"/>
      <c r="J25" s="84"/>
      <c r="X25" s="10" t="s">
        <v>96</v>
      </c>
      <c r="Y25" s="145"/>
      <c r="AM25" s="105"/>
    </row>
    <row r="26" spans="1:39" ht="27.75">
      <c r="A26" s="84"/>
      <c r="H26" s="105"/>
      <c r="J26" s="84"/>
      <c r="X26" s="10" t="s">
        <v>97</v>
      </c>
      <c r="Y26" s="145"/>
      <c r="AM26" s="105"/>
    </row>
    <row r="27" spans="1:39">
      <c r="A27" s="84"/>
      <c r="H27" s="105"/>
      <c r="J27" s="84"/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X30" s="521" t="s">
        <v>98</v>
      </c>
      <c r="Y30" s="522"/>
      <c r="AM30" s="105"/>
    </row>
    <row r="31" spans="1:39">
      <c r="A31" s="84"/>
      <c r="H31" s="105"/>
      <c r="J31" s="84"/>
      <c r="X31" s="523">
        <v>44988</v>
      </c>
      <c r="Y31" s="524"/>
      <c r="AM31" s="105"/>
    </row>
    <row r="32" spans="1:39">
      <c r="A32" s="112"/>
      <c r="B32" s="113"/>
      <c r="C32" s="113"/>
      <c r="D32" s="113"/>
      <c r="E32" s="113"/>
      <c r="F32" s="113"/>
      <c r="G32" s="113"/>
      <c r="H32" s="114"/>
      <c r="J32" s="112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525"/>
      <c r="Y32" s="526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4"/>
    </row>
    <row r="37" spans="9:9">
      <c r="I37" s="1"/>
    </row>
  </sheetData>
  <mergeCells count="20">
    <mergeCell ref="B1:AM1"/>
    <mergeCell ref="V4:V5"/>
    <mergeCell ref="AM4:AM5"/>
    <mergeCell ref="X6:Y6"/>
    <mergeCell ref="K18:U18"/>
    <mergeCell ref="X18:Y18"/>
    <mergeCell ref="AB18:AL18"/>
    <mergeCell ref="A2:H2"/>
    <mergeCell ref="J2:AM2"/>
    <mergeCell ref="C3:D3"/>
    <mergeCell ref="E3:F3"/>
    <mergeCell ref="G3:H3"/>
    <mergeCell ref="K3:U3"/>
    <mergeCell ref="X3:Y3"/>
    <mergeCell ref="AB3:AL3"/>
    <mergeCell ref="V19:V20"/>
    <mergeCell ref="AM19:AM20"/>
    <mergeCell ref="X21:Y21"/>
    <mergeCell ref="X30:Y30"/>
    <mergeCell ref="X31:Y32"/>
  </mergeCells>
  <pageMargins left="0.7" right="0.7" top="0.75" bottom="0.75" header="0.3" footer="0.3"/>
  <pageSetup paperSize="9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E7CF-36C0-4EC7-9077-9DDFD1BD8BDB}">
  <sheetPr>
    <pageSetUpPr fitToPage="1"/>
  </sheetPr>
  <dimension ref="A1:AP37"/>
  <sheetViews>
    <sheetView workbookViewId="0">
      <selection activeCell="B1" sqref="B1:AM1"/>
    </sheetView>
  </sheetViews>
  <sheetFormatPr defaultColWidth="9.140625" defaultRowHeight="15" outlineLevelCol="1"/>
  <cols>
    <col min="1" max="1" width="36.42578125" bestFit="1" customWidth="1"/>
    <col min="2" max="2" width="30.140625" bestFit="1" customWidth="1"/>
    <col min="3" max="4" width="10.7109375" customWidth="1"/>
    <col min="5" max="5" width="10.7109375" hidden="1" customWidth="1" outlineLevel="1"/>
    <col min="6" max="6" width="10.140625" hidden="1" customWidth="1" outlineLevel="1"/>
    <col min="7" max="7" width="10.7109375" customWidth="1" collapsed="1"/>
    <col min="8" max="8" width="10.7109375" customWidth="1"/>
    <col min="9" max="9" width="3.28515625" customWidth="1"/>
    <col min="10" max="10" width="0.5703125" hidden="1" customWidth="1" outlineLevel="1"/>
    <col min="11" max="11" width="20.7109375" customWidth="1" collapsed="1"/>
    <col min="12" max="15" width="10.7109375" hidden="1" customWidth="1" outlineLevel="1"/>
    <col min="16" max="22" width="9.140625" hidden="1" customWidth="1" outlineLevel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20.7109375" customWidth="1" collapsed="1"/>
    <col min="29" max="31" width="10.7109375" hidden="1" customWidth="1" outlineLevel="1"/>
    <col min="32" max="39" width="12.7109375" hidden="1" customWidth="1" outlineLevel="1"/>
    <col min="40" max="40" width="12.7109375" customWidth="1" collapsed="1"/>
    <col min="41" max="41" width="10.5703125" customWidth="1"/>
  </cols>
  <sheetData>
    <row r="1" spans="1:41" ht="25.5" customHeight="1">
      <c r="A1" s="301" t="s">
        <v>451</v>
      </c>
      <c r="B1" s="606" t="s">
        <v>452</v>
      </c>
      <c r="C1" s="606"/>
      <c r="D1" s="606"/>
      <c r="E1" s="606"/>
      <c r="F1" s="606"/>
      <c r="G1" s="606"/>
      <c r="H1" s="606"/>
      <c r="I1" s="606"/>
      <c r="J1" s="606"/>
      <c r="K1" s="606"/>
      <c r="L1" s="606"/>
      <c r="M1" s="606"/>
      <c r="N1" s="606"/>
      <c r="O1" s="606"/>
      <c r="P1" s="606"/>
      <c r="Q1" s="606"/>
      <c r="R1" s="606"/>
      <c r="S1" s="606"/>
      <c r="T1" s="606"/>
      <c r="U1" s="606"/>
      <c r="V1" s="606"/>
      <c r="W1" s="606"/>
      <c r="X1" s="606"/>
      <c r="Y1" s="606"/>
      <c r="Z1" s="606"/>
      <c r="AA1" s="606"/>
      <c r="AB1" s="606"/>
      <c r="AC1" s="606"/>
      <c r="AD1" s="606"/>
      <c r="AE1" s="606"/>
      <c r="AF1" s="606"/>
      <c r="AG1" s="606"/>
      <c r="AH1" s="606"/>
      <c r="AI1" s="606"/>
      <c r="AJ1" s="606"/>
      <c r="AK1" s="606"/>
      <c r="AL1" s="606"/>
      <c r="AM1" s="607"/>
    </row>
    <row r="2" spans="1:41" ht="18.75">
      <c r="A2" s="616" t="s">
        <v>35</v>
      </c>
      <c r="B2" s="538"/>
      <c r="C2" s="538"/>
      <c r="D2" s="538"/>
      <c r="E2" s="538"/>
      <c r="F2" s="538"/>
      <c r="G2" s="538"/>
      <c r="H2" s="539"/>
      <c r="I2" s="7"/>
      <c r="J2" s="540" t="s">
        <v>36</v>
      </c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617"/>
    </row>
    <row r="3" spans="1:41" ht="30" customHeight="1">
      <c r="A3" s="302"/>
      <c r="B3" s="258"/>
      <c r="C3" s="543">
        <v>44614</v>
      </c>
      <c r="D3" s="544"/>
      <c r="E3" s="543"/>
      <c r="F3" s="544"/>
      <c r="G3" s="545" t="s">
        <v>39</v>
      </c>
      <c r="H3" s="618"/>
      <c r="J3" s="177" t="s">
        <v>40</v>
      </c>
      <c r="K3" s="603" t="s">
        <v>41</v>
      </c>
      <c r="L3" s="604"/>
      <c r="M3" s="604"/>
      <c r="N3" s="604"/>
      <c r="O3" s="604"/>
      <c r="P3" s="604"/>
      <c r="Q3" s="604"/>
      <c r="R3" s="604"/>
      <c r="S3" s="604"/>
      <c r="T3" s="604"/>
      <c r="U3" s="615"/>
      <c r="V3" s="292"/>
      <c r="W3" s="116"/>
      <c r="X3" s="548" t="s">
        <v>42</v>
      </c>
      <c r="Y3" s="549"/>
      <c r="Z3" s="116"/>
      <c r="AA3" s="285" t="s">
        <v>40</v>
      </c>
      <c r="AB3" s="603" t="s">
        <v>20</v>
      </c>
      <c r="AC3" s="604"/>
      <c r="AD3" s="604"/>
      <c r="AE3" s="604"/>
      <c r="AF3" s="604"/>
      <c r="AG3" s="604"/>
      <c r="AH3" s="604"/>
      <c r="AI3" s="604"/>
      <c r="AJ3" s="604"/>
      <c r="AK3" s="604"/>
      <c r="AL3" s="615"/>
      <c r="AM3" s="303"/>
    </row>
    <row r="4" spans="1:41" ht="14.25" customHeight="1">
      <c r="A4" s="304" t="s">
        <v>43</v>
      </c>
      <c r="B4" s="5" t="s">
        <v>44</v>
      </c>
      <c r="C4" s="83">
        <f>Y10+Y11</f>
        <v>30549.81</v>
      </c>
      <c r="D4">
        <f>H4</f>
        <v>377.5</v>
      </c>
      <c r="E4" s="83"/>
      <c r="G4" s="153">
        <f>C4+E4</f>
        <v>30549.81</v>
      </c>
      <c r="H4" s="294">
        <f>AB7</f>
        <v>377.5</v>
      </c>
      <c r="J4" s="178" t="s">
        <v>45</v>
      </c>
      <c r="K4" s="188" t="s">
        <v>453</v>
      </c>
      <c r="L4" s="31"/>
      <c r="M4" s="31"/>
      <c r="N4" s="32"/>
      <c r="O4" s="32"/>
      <c r="P4" s="32"/>
      <c r="Q4" s="32"/>
      <c r="R4" s="32"/>
      <c r="S4" s="32"/>
      <c r="T4" s="32"/>
      <c r="U4" s="274"/>
      <c r="V4" s="608" t="s">
        <v>51</v>
      </c>
      <c r="W4" s="116"/>
      <c r="X4" s="33" t="s">
        <v>52</v>
      </c>
      <c r="Y4" s="34">
        <f>K6</f>
        <v>1</v>
      </c>
      <c r="Z4" s="116"/>
      <c r="AA4" s="286" t="s">
        <v>45</v>
      </c>
      <c r="AB4" s="188" t="str">
        <f>K4</f>
        <v>10/02-20/02</v>
      </c>
      <c r="AC4" s="31"/>
      <c r="AD4" s="31"/>
      <c r="AE4" s="32"/>
      <c r="AF4" s="32"/>
      <c r="AG4" s="32"/>
      <c r="AH4" s="32"/>
      <c r="AI4" s="32"/>
      <c r="AJ4" s="32"/>
      <c r="AK4" s="32"/>
      <c r="AL4" s="274"/>
      <c r="AM4" s="610" t="s">
        <v>51</v>
      </c>
      <c r="AO4" s="1">
        <f>G4+SAR!G4</f>
        <v>112171.54999999999</v>
      </c>
    </row>
    <row r="5" spans="1:41">
      <c r="A5" s="304" t="s">
        <v>53</v>
      </c>
      <c r="B5" s="5" t="s">
        <v>54</v>
      </c>
      <c r="C5" s="192">
        <f>C6+C7+C8+C9+C10+C11+C13+C14+C16+C15+C12</f>
        <v>14628.401396497931</v>
      </c>
      <c r="D5" s="5"/>
      <c r="E5" s="18">
        <f>E6+E7+E8+E9+E10+E11+E13+E14+E16+E15+E12</f>
        <v>0</v>
      </c>
      <c r="F5" s="5"/>
      <c r="G5" s="154">
        <f>G6+G7+G8+G9+G10+G11+G13+G14+G16+G15+G12</f>
        <v>14628.401396497931</v>
      </c>
      <c r="H5" s="295"/>
      <c r="J5" s="179"/>
      <c r="K5" s="189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288"/>
      <c r="V5" s="609"/>
      <c r="X5" s="37" t="s">
        <v>55</v>
      </c>
      <c r="Y5" s="38">
        <f>K7+V8</f>
        <v>1.3800488418359325</v>
      </c>
      <c r="AA5" s="289"/>
      <c r="AB5" s="189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288">
        <v>11</v>
      </c>
      <c r="AM5" s="611"/>
    </row>
    <row r="6" spans="1:41">
      <c r="A6" s="305" t="s">
        <v>56</v>
      </c>
      <c r="B6" s="81" t="s">
        <v>57</v>
      </c>
      <c r="C6" s="22">
        <v>225.09</v>
      </c>
      <c r="D6" s="13">
        <f>C6+C7+C8</f>
        <v>1964.6600000000003</v>
      </c>
      <c r="E6" s="13"/>
      <c r="F6" s="13">
        <f>E6+E7+E8</f>
        <v>0</v>
      </c>
      <c r="G6" s="9">
        <f>C6+E6</f>
        <v>225.09</v>
      </c>
      <c r="H6" s="296">
        <f>G6+G7+G8</f>
        <v>1964.6600000000003</v>
      </c>
      <c r="J6" s="180"/>
      <c r="K6" s="40">
        <v>1</v>
      </c>
      <c r="L6" s="40"/>
      <c r="M6" s="40"/>
      <c r="N6" s="40"/>
      <c r="O6" s="40"/>
      <c r="P6" s="40"/>
      <c r="Q6" s="40"/>
      <c r="R6" s="40"/>
      <c r="S6" s="40"/>
      <c r="T6" s="40"/>
      <c r="U6" s="40"/>
      <c r="V6" s="39">
        <f>K6</f>
        <v>1</v>
      </c>
      <c r="X6" s="531" t="s">
        <v>58</v>
      </c>
      <c r="Y6" s="532"/>
      <c r="AA6" s="290"/>
      <c r="AB6" s="43">
        <f>161+152</f>
        <v>313</v>
      </c>
      <c r="AC6" s="43"/>
      <c r="AD6" s="43"/>
      <c r="AE6" s="43"/>
      <c r="AF6" s="43"/>
      <c r="AG6" s="43"/>
      <c r="AH6" s="44"/>
      <c r="AI6" s="44"/>
      <c r="AJ6" s="44"/>
      <c r="AK6" s="44"/>
      <c r="AL6" s="43"/>
      <c r="AM6" s="306">
        <f>AB6</f>
        <v>313</v>
      </c>
    </row>
    <row r="7" spans="1:41">
      <c r="A7" s="307" t="s">
        <v>59</v>
      </c>
      <c r="B7" s="92" t="s">
        <v>60</v>
      </c>
      <c r="C7" s="22">
        <f>1950/4</f>
        <v>487.5</v>
      </c>
      <c r="D7" s="13"/>
      <c r="E7" s="13"/>
      <c r="F7" s="13"/>
      <c r="G7" s="9">
        <f t="shared" ref="G7:G15" si="0">C7+E7</f>
        <v>487.5</v>
      </c>
      <c r="H7" s="296"/>
      <c r="J7" s="181"/>
      <c r="K7" s="48">
        <v>1</v>
      </c>
      <c r="L7" s="46"/>
      <c r="M7" s="46"/>
      <c r="N7" s="46"/>
      <c r="O7" s="46"/>
      <c r="P7" s="46"/>
      <c r="Q7" s="46"/>
      <c r="R7" s="46"/>
      <c r="S7" s="46"/>
      <c r="T7" s="46"/>
      <c r="U7" s="48"/>
      <c r="V7" s="45">
        <f>K7</f>
        <v>1</v>
      </c>
      <c r="X7" s="49" t="s">
        <v>52</v>
      </c>
      <c r="Y7" s="50">
        <f>AM6/Y13</f>
        <v>2.2005061867266589</v>
      </c>
      <c r="AA7" s="291"/>
      <c r="AB7" s="52">
        <f>8+369.5</f>
        <v>377.5</v>
      </c>
      <c r="AC7" s="53"/>
      <c r="AD7" s="53"/>
      <c r="AE7" s="53"/>
      <c r="AF7" s="53"/>
      <c r="AG7" s="53"/>
      <c r="AH7" s="54"/>
      <c r="AI7" s="54"/>
      <c r="AJ7" s="54"/>
      <c r="AK7" s="54"/>
      <c r="AL7" s="53"/>
      <c r="AM7" s="308">
        <f>AB7</f>
        <v>377.5</v>
      </c>
    </row>
    <row r="8" spans="1:41">
      <c r="A8" s="309" t="s">
        <v>61</v>
      </c>
      <c r="B8" s="82" t="s">
        <v>62</v>
      </c>
      <c r="C8" s="152">
        <f>1004.48+101.99+85.4+10+50.2</f>
        <v>1252.0700000000002</v>
      </c>
      <c r="D8" s="14"/>
      <c r="E8" s="14"/>
      <c r="F8" s="14"/>
      <c r="G8" s="9">
        <f t="shared" si="0"/>
        <v>1252.0700000000002</v>
      </c>
      <c r="H8" s="297"/>
      <c r="J8" s="182"/>
      <c r="K8" s="56">
        <f>Y11/Y10</f>
        <v>0.38004884183593257</v>
      </c>
      <c r="L8" s="55"/>
      <c r="M8" s="55"/>
      <c r="N8" s="56"/>
      <c r="O8" s="57"/>
      <c r="P8" s="56"/>
      <c r="Q8" s="58"/>
      <c r="R8" s="58"/>
      <c r="S8" s="58"/>
      <c r="T8" s="58"/>
      <c r="U8" s="58"/>
      <c r="V8" s="293">
        <f>K8</f>
        <v>0.38004884183593257</v>
      </c>
      <c r="X8" s="59" t="s">
        <v>55</v>
      </c>
      <c r="Y8" s="60">
        <f>AM7/Y13</f>
        <v>2.6539651293588298</v>
      </c>
      <c r="AM8" s="310"/>
    </row>
    <row r="9" spans="1:41">
      <c r="A9" s="305" t="s">
        <v>63</v>
      </c>
      <c r="B9" s="81" t="s">
        <v>64</v>
      </c>
      <c r="C9" s="148">
        <f>((13*75.5*2+14*75.5+14.5*71.5*2+12*4+15*4)-C13)*1.42</f>
        <v>4191.13</v>
      </c>
      <c r="D9" s="151">
        <f>C9+C10+C11+C13+C12</f>
        <v>9982.6896723600003</v>
      </c>
      <c r="E9" s="141"/>
      <c r="F9" s="6">
        <f>E9+E10+E11+E13+E12</f>
        <v>0</v>
      </c>
      <c r="G9" s="24">
        <f t="shared" si="0"/>
        <v>4191.13</v>
      </c>
      <c r="H9" s="298">
        <f>G9+G10+G11+G13+G12</f>
        <v>9982.6896723600003</v>
      </c>
      <c r="J9" s="84"/>
      <c r="AM9" s="310"/>
    </row>
    <row r="10" spans="1:41">
      <c r="A10" s="307" t="s">
        <v>65</v>
      </c>
      <c r="B10" s="92" t="s">
        <v>66</v>
      </c>
      <c r="C10" s="134">
        <f>C9*0.2359</f>
        <v>988.68756700000006</v>
      </c>
      <c r="D10" s="13"/>
      <c r="E10" s="13">
        <f>E9*0.2359</f>
        <v>0</v>
      </c>
      <c r="F10" s="89"/>
      <c r="G10" s="25">
        <f t="shared" si="0"/>
        <v>988.68756700000006</v>
      </c>
      <c r="H10" s="297"/>
      <c r="J10" s="84"/>
      <c r="X10" s="10" t="s">
        <v>67</v>
      </c>
      <c r="Y10" s="61">
        <f>11457.14+10679.62</f>
        <v>22136.760000000002</v>
      </c>
      <c r="AM10" s="310"/>
    </row>
    <row r="11" spans="1:41">
      <c r="A11" s="307" t="s">
        <v>68</v>
      </c>
      <c r="B11" s="92" t="s">
        <v>69</v>
      </c>
      <c r="C11" s="134">
        <f>(C9+C10)*0.08</f>
        <v>414.38540535999999</v>
      </c>
      <c r="D11" s="13"/>
      <c r="E11" s="13">
        <f>(E9+E10)*0.08</f>
        <v>0</v>
      </c>
      <c r="F11" s="89"/>
      <c r="G11" s="25">
        <f t="shared" si="0"/>
        <v>414.38540535999999</v>
      </c>
      <c r="H11" s="297"/>
      <c r="J11" s="84"/>
      <c r="X11" s="62" t="s">
        <v>70</v>
      </c>
      <c r="Y11" s="201">
        <v>8413.0499999999993</v>
      </c>
      <c r="AM11" s="310"/>
    </row>
    <row r="12" spans="1:41">
      <c r="A12" s="311" t="s">
        <v>71</v>
      </c>
      <c r="B12" s="98" t="s">
        <v>72</v>
      </c>
      <c r="C12" s="135">
        <f>(C4)*0.07</f>
        <v>2138.4867000000004</v>
      </c>
      <c r="D12" s="142"/>
      <c r="E12" s="142">
        <f>(E13+E11+E10+E9)*0.07</f>
        <v>0</v>
      </c>
      <c r="F12" s="131"/>
      <c r="G12" s="25">
        <f t="shared" si="0"/>
        <v>2138.4867000000004</v>
      </c>
      <c r="H12" s="297"/>
      <c r="J12" s="84"/>
      <c r="AM12" s="310"/>
    </row>
    <row r="13" spans="1:41">
      <c r="A13" s="307" t="s">
        <v>73</v>
      </c>
      <c r="B13" s="92" t="s">
        <v>74</v>
      </c>
      <c r="C13" s="139">
        <f>9*5*50</f>
        <v>2250</v>
      </c>
      <c r="D13" s="143"/>
      <c r="E13" s="143"/>
      <c r="F13" s="133"/>
      <c r="G13" s="26">
        <f t="shared" si="0"/>
        <v>2250</v>
      </c>
      <c r="H13" s="299"/>
      <c r="J13" s="84"/>
      <c r="X13" s="64" t="s">
        <v>75</v>
      </c>
      <c r="Y13" s="65">
        <f>65.8+76.44</f>
        <v>142.24</v>
      </c>
      <c r="AM13" s="310"/>
    </row>
    <row r="14" spans="1:41">
      <c r="A14" s="312" t="s">
        <v>76</v>
      </c>
      <c r="B14" s="81" t="s">
        <v>77</v>
      </c>
      <c r="C14" s="134">
        <f>462+66+965.93+1098/2</f>
        <v>2042.9299999999998</v>
      </c>
      <c r="D14" s="156">
        <f>C14+C16+C15</f>
        <v>2681.0517241379307</v>
      </c>
      <c r="E14" s="13"/>
      <c r="F14" s="13">
        <f>E14+E16+E15</f>
        <v>0</v>
      </c>
      <c r="G14" s="9">
        <f t="shared" si="0"/>
        <v>2042.9299999999998</v>
      </c>
      <c r="H14" s="297">
        <f>G14+G16+G15</f>
        <v>2681.0517241379307</v>
      </c>
      <c r="J14" s="84"/>
      <c r="X14" s="66" t="s">
        <v>78</v>
      </c>
      <c r="Y14" s="66" t="s">
        <v>79</v>
      </c>
      <c r="AM14" s="310"/>
    </row>
    <row r="15" spans="1:41">
      <c r="A15" s="313" t="s">
        <v>80</v>
      </c>
      <c r="B15" s="92" t="s">
        <v>81</v>
      </c>
      <c r="C15" s="134">
        <f>32+223.18/2+905/58/2</f>
        <v>151.39172413793105</v>
      </c>
      <c r="D15" s="13"/>
      <c r="E15" s="13"/>
      <c r="F15" s="13"/>
      <c r="G15" s="9">
        <f t="shared" si="0"/>
        <v>151.39172413793105</v>
      </c>
      <c r="H15" s="297"/>
      <c r="J15" s="84"/>
      <c r="X15" s="67" t="s">
        <v>82</v>
      </c>
      <c r="Y15" s="68">
        <v>13</v>
      </c>
      <c r="AM15" s="310"/>
    </row>
    <row r="16" spans="1:41">
      <c r="A16" s="307" t="s">
        <v>83</v>
      </c>
      <c r="B16" s="92" t="s">
        <v>84</v>
      </c>
      <c r="C16" s="134">
        <f>90+116.26+44.46+236.01</f>
        <v>486.73</v>
      </c>
      <c r="D16" s="13"/>
      <c r="E16" s="13"/>
      <c r="F16" s="13"/>
      <c r="G16" s="9">
        <f>C16+E16</f>
        <v>486.73</v>
      </c>
      <c r="H16" s="297"/>
      <c r="J16" s="84"/>
      <c r="X16" s="67" t="s">
        <v>85</v>
      </c>
      <c r="Y16" s="68">
        <v>12</v>
      </c>
      <c r="AM16" s="310"/>
    </row>
    <row r="17" spans="1:42">
      <c r="A17" s="314" t="s">
        <v>86</v>
      </c>
      <c r="B17" s="251" t="s">
        <v>87</v>
      </c>
      <c r="C17" s="136">
        <f>C4-C5</f>
        <v>15921.40860350207</v>
      </c>
      <c r="D17" s="129">
        <f>C17/C4</f>
        <v>0.52116227902897172</v>
      </c>
      <c r="E17" s="23">
        <f>E4-E5</f>
        <v>0</v>
      </c>
      <c r="F17" s="15" t="e">
        <f>E17/E4</f>
        <v>#DIV/0!</v>
      </c>
      <c r="G17" s="300">
        <f>G4-G5</f>
        <v>15921.40860350207</v>
      </c>
      <c r="H17" s="130">
        <f>G17/G4</f>
        <v>0.52116227902897172</v>
      </c>
      <c r="J17" s="84"/>
      <c r="AM17" s="310"/>
      <c r="AO17" s="1">
        <f>G17+SAR!G18</f>
        <v>26955.492434074182</v>
      </c>
      <c r="AP17" s="223">
        <f>AO17/AO4</f>
        <v>0.24030596380342595</v>
      </c>
    </row>
    <row r="18" spans="1:42" ht="30" customHeight="1">
      <c r="A18" s="315"/>
      <c r="B18" s="104"/>
      <c r="C18" s="104"/>
      <c r="D18" s="104"/>
      <c r="E18" s="104"/>
      <c r="F18" s="104"/>
      <c r="H18" s="105"/>
      <c r="J18" s="177" t="s">
        <v>40</v>
      </c>
      <c r="K18" s="612" t="s">
        <v>88</v>
      </c>
      <c r="L18" s="613"/>
      <c r="M18" s="613"/>
      <c r="N18" s="613"/>
      <c r="O18" s="613"/>
      <c r="P18" s="613"/>
      <c r="Q18" s="613"/>
      <c r="R18" s="613"/>
      <c r="S18" s="613"/>
      <c r="T18" s="613"/>
      <c r="U18" s="614"/>
      <c r="V18" s="283"/>
      <c r="X18" s="601" t="s">
        <v>89</v>
      </c>
      <c r="Y18" s="602"/>
      <c r="AA18" s="285" t="s">
        <v>40</v>
      </c>
      <c r="AB18" s="603" t="s">
        <v>90</v>
      </c>
      <c r="AC18" s="604"/>
      <c r="AD18" s="604"/>
      <c r="AE18" s="604"/>
      <c r="AF18" s="604"/>
      <c r="AG18" s="604"/>
      <c r="AH18" s="604"/>
      <c r="AI18" s="604"/>
      <c r="AJ18" s="604"/>
      <c r="AK18" s="604"/>
      <c r="AL18" s="615"/>
      <c r="AM18" s="303"/>
    </row>
    <row r="19" spans="1:42" ht="15.75" customHeight="1">
      <c r="A19" s="316" t="s">
        <v>91</v>
      </c>
      <c r="B19" s="4" t="s">
        <v>92</v>
      </c>
      <c r="C19" s="107"/>
      <c r="D19" s="107"/>
      <c r="E19" s="107"/>
      <c r="F19" s="107"/>
      <c r="H19" s="105"/>
      <c r="J19" s="178" t="s">
        <v>45</v>
      </c>
      <c r="K19" s="188" t="str">
        <f>K4</f>
        <v>10/02-20/02</v>
      </c>
      <c r="L19" s="31"/>
      <c r="M19" s="31"/>
      <c r="N19" s="32"/>
      <c r="O19" s="32"/>
      <c r="P19" s="32"/>
      <c r="Q19" s="31"/>
      <c r="R19" s="31"/>
      <c r="S19" s="31"/>
      <c r="T19" s="31"/>
      <c r="U19" s="274"/>
      <c r="V19" s="619" t="s">
        <v>51</v>
      </c>
      <c r="X19" s="268" t="s">
        <v>52</v>
      </c>
      <c r="Y19" s="269">
        <f>126.56+128.69</f>
        <v>255.25</v>
      </c>
      <c r="AA19" s="286" t="s">
        <v>45</v>
      </c>
      <c r="AB19" s="188" t="str">
        <f>K19</f>
        <v>10/02-20/02</v>
      </c>
      <c r="AC19" s="31"/>
      <c r="AD19" s="31"/>
      <c r="AE19" s="32"/>
      <c r="AF19" s="32"/>
      <c r="AG19" s="32"/>
      <c r="AH19" s="31"/>
      <c r="AI19" s="31"/>
      <c r="AJ19" s="31"/>
      <c r="AK19" s="31"/>
      <c r="AL19" s="274"/>
      <c r="AM19" s="610" t="s">
        <v>51</v>
      </c>
    </row>
    <row r="20" spans="1:42">
      <c r="A20" s="317" t="s">
        <v>93</v>
      </c>
      <c r="B20" s="3">
        <f>H6/G5*100</f>
        <v>13.43044907470439</v>
      </c>
      <c r="C20" s="109"/>
      <c r="D20" s="109"/>
      <c r="E20" s="109"/>
      <c r="F20" s="109"/>
      <c r="H20" s="105"/>
      <c r="J20" s="178"/>
      <c r="K20" s="275">
        <v>1</v>
      </c>
      <c r="L20" s="70">
        <v>2</v>
      </c>
      <c r="M20" s="70">
        <v>3</v>
      </c>
      <c r="N20" s="70">
        <v>4</v>
      </c>
      <c r="O20" s="70">
        <v>5</v>
      </c>
      <c r="P20" s="70">
        <v>6</v>
      </c>
      <c r="Q20" s="70"/>
      <c r="R20" s="70"/>
      <c r="S20" s="70"/>
      <c r="T20" s="70"/>
      <c r="U20" s="276"/>
      <c r="V20" s="620"/>
      <c r="X20" s="270" t="s">
        <v>55</v>
      </c>
      <c r="Y20" s="330">
        <f>G6+G7</f>
        <v>712.59</v>
      </c>
      <c r="AA20" s="286"/>
      <c r="AB20" s="275">
        <v>1</v>
      </c>
      <c r="AC20" s="70">
        <v>2</v>
      </c>
      <c r="AD20" s="70">
        <v>3</v>
      </c>
      <c r="AE20" s="70">
        <v>4</v>
      </c>
      <c r="AF20" s="70">
        <v>5</v>
      </c>
      <c r="AG20" s="70">
        <v>6</v>
      </c>
      <c r="AH20" s="70">
        <v>7</v>
      </c>
      <c r="AI20" s="70">
        <v>8</v>
      </c>
      <c r="AJ20" s="70">
        <v>9</v>
      </c>
      <c r="AK20" s="70">
        <v>10</v>
      </c>
      <c r="AL20" s="276">
        <v>11</v>
      </c>
      <c r="AM20" s="611"/>
    </row>
    <row r="21" spans="1:42">
      <c r="A21" s="318" t="s">
        <v>94</v>
      </c>
      <c r="B21" s="3">
        <f>H9/G5*100</f>
        <v>68.241835876542709</v>
      </c>
      <c r="C21" s="109"/>
      <c r="D21" s="109"/>
      <c r="E21" s="109"/>
      <c r="F21" s="109"/>
      <c r="H21" s="105"/>
      <c r="J21" s="282"/>
      <c r="K21" s="277">
        <f>Y19</f>
        <v>255.25</v>
      </c>
      <c r="L21" s="73">
        <f>K21</f>
        <v>255.25</v>
      </c>
      <c r="M21" s="73">
        <f>K21</f>
        <v>255.25</v>
      </c>
      <c r="N21" s="73">
        <f>V21/4</f>
        <v>0</v>
      </c>
      <c r="O21" s="73"/>
      <c r="P21" s="73"/>
      <c r="Q21" s="73"/>
      <c r="R21" s="73"/>
      <c r="S21" s="73"/>
      <c r="T21" s="73"/>
      <c r="U21" s="278"/>
      <c r="V21" s="284"/>
      <c r="X21" s="599" t="s">
        <v>90</v>
      </c>
      <c r="Y21" s="600"/>
      <c r="AA21" s="287"/>
      <c r="AB21" s="277">
        <f>Y22</f>
        <v>2750</v>
      </c>
      <c r="AC21" s="73"/>
      <c r="AD21" s="73"/>
      <c r="AE21" s="73"/>
      <c r="AF21" s="73"/>
      <c r="AG21" s="73"/>
      <c r="AH21" s="73"/>
      <c r="AI21" s="73"/>
      <c r="AJ21" s="73"/>
      <c r="AK21" s="73"/>
      <c r="AL21" s="278"/>
      <c r="AM21" s="306">
        <f>AB21</f>
        <v>2750</v>
      </c>
    </row>
    <row r="22" spans="1:42">
      <c r="A22" s="319" t="s">
        <v>95</v>
      </c>
      <c r="B22" s="2">
        <f>H14/G5*100</f>
        <v>18.3277150487529</v>
      </c>
      <c r="C22" s="109"/>
      <c r="D22" s="109"/>
      <c r="E22" s="109"/>
      <c r="F22" s="109"/>
      <c r="H22" s="105"/>
      <c r="J22" s="282"/>
      <c r="K22" s="279"/>
      <c r="L22" s="280"/>
      <c r="M22" s="280"/>
      <c r="N22" s="280"/>
      <c r="O22" s="280"/>
      <c r="P22" s="280"/>
      <c r="Q22" s="280"/>
      <c r="R22" s="280"/>
      <c r="S22" s="280"/>
      <c r="T22" s="280"/>
      <c r="U22" s="281"/>
      <c r="V22" s="255">
        <f t="shared" ref="V22" si="1">K22+L22+M22+N22+O22+P22+U22+Q22+R22+S22+T22</f>
        <v>0</v>
      </c>
      <c r="X22" s="268" t="s">
        <v>52</v>
      </c>
      <c r="Y22" s="269">
        <f>1375*2</f>
        <v>2750</v>
      </c>
      <c r="AA22" s="287"/>
      <c r="AB22" s="279">
        <f>G14+G15</f>
        <v>2194.3217241379307</v>
      </c>
      <c r="AC22" s="280"/>
      <c r="AD22" s="280"/>
      <c r="AE22" s="280"/>
      <c r="AF22" s="280"/>
      <c r="AG22" s="280"/>
      <c r="AH22" s="280"/>
      <c r="AI22" s="280"/>
      <c r="AJ22" s="280"/>
      <c r="AK22" s="280"/>
      <c r="AL22" s="281"/>
      <c r="AM22" s="320">
        <f>AB22</f>
        <v>2194.3217241379307</v>
      </c>
    </row>
    <row r="23" spans="1:42">
      <c r="A23" s="321"/>
      <c r="H23" s="105"/>
      <c r="J23" s="84"/>
      <c r="X23" s="272" t="s">
        <v>55</v>
      </c>
      <c r="Y23" s="273">
        <f>AM22</f>
        <v>2194.3217241379307</v>
      </c>
      <c r="AM23" s="310"/>
    </row>
    <row r="24" spans="1:42">
      <c r="A24" s="321"/>
      <c r="H24" s="105"/>
      <c r="J24" s="84"/>
      <c r="V24" s="128"/>
      <c r="AM24" s="310"/>
    </row>
    <row r="25" spans="1:42" ht="27.75" customHeight="1">
      <c r="A25" s="321"/>
      <c r="H25" s="105"/>
      <c r="J25" s="84"/>
      <c r="X25" s="10" t="s">
        <v>96</v>
      </c>
      <c r="Y25" s="145">
        <f>750*2</f>
        <v>1500</v>
      </c>
      <c r="AM25" s="310"/>
    </row>
    <row r="26" spans="1:42" ht="27.75">
      <c r="A26" s="321"/>
      <c r="H26" s="105"/>
      <c r="J26" s="84"/>
      <c r="X26" s="10" t="s">
        <v>97</v>
      </c>
      <c r="Y26" s="145">
        <f>G8</f>
        <v>1252.0700000000002</v>
      </c>
      <c r="AM26" s="310"/>
    </row>
    <row r="27" spans="1:42">
      <c r="A27" s="321"/>
      <c r="H27" s="105"/>
      <c r="J27" s="84"/>
      <c r="AM27" s="310"/>
    </row>
    <row r="28" spans="1:42">
      <c r="A28" s="321"/>
      <c r="H28" s="105"/>
      <c r="J28" s="84"/>
      <c r="AM28" s="310"/>
    </row>
    <row r="29" spans="1:42">
      <c r="A29" s="321"/>
      <c r="H29" s="105"/>
      <c r="J29" s="84"/>
      <c r="AM29" s="310"/>
    </row>
    <row r="30" spans="1:42">
      <c r="A30" s="321"/>
      <c r="H30" s="105"/>
      <c r="J30" s="84"/>
      <c r="X30" s="521" t="s">
        <v>98</v>
      </c>
      <c r="Y30" s="522"/>
      <c r="AM30" s="310"/>
    </row>
    <row r="31" spans="1:42">
      <c r="A31" s="321"/>
      <c r="H31" s="105"/>
      <c r="J31" s="84"/>
      <c r="X31" s="523">
        <v>44988</v>
      </c>
      <c r="Y31" s="524"/>
      <c r="AM31" s="310"/>
    </row>
    <row r="32" spans="1:42">
      <c r="A32" s="322"/>
      <c r="B32" s="323"/>
      <c r="C32" s="323"/>
      <c r="D32" s="323"/>
      <c r="E32" s="323"/>
      <c r="F32" s="323"/>
      <c r="G32" s="323"/>
      <c r="H32" s="324"/>
      <c r="I32" s="323"/>
      <c r="J32" s="325"/>
      <c r="K32" s="323"/>
      <c r="L32" s="323"/>
      <c r="M32" s="323"/>
      <c r="N32" s="323"/>
      <c r="O32" s="323"/>
      <c r="P32" s="323"/>
      <c r="Q32" s="323"/>
      <c r="R32" s="323"/>
      <c r="S32" s="323"/>
      <c r="T32" s="323"/>
      <c r="U32" s="323"/>
      <c r="V32" s="323"/>
      <c r="W32" s="323"/>
      <c r="X32" s="621"/>
      <c r="Y32" s="622"/>
      <c r="Z32" s="323"/>
      <c r="AA32" s="323"/>
      <c r="AB32" s="323"/>
      <c r="AC32" s="323"/>
      <c r="AD32" s="323"/>
      <c r="AE32" s="323"/>
      <c r="AF32" s="323"/>
      <c r="AG32" s="323"/>
      <c r="AH32" s="323"/>
      <c r="AI32" s="323"/>
      <c r="AJ32" s="323"/>
      <c r="AK32" s="323"/>
      <c r="AL32" s="323"/>
      <c r="AM32" s="326"/>
    </row>
    <row r="37" spans="9:9">
      <c r="I37" s="1"/>
    </row>
  </sheetData>
  <mergeCells count="20">
    <mergeCell ref="V19:V20"/>
    <mergeCell ref="AM19:AM20"/>
    <mergeCell ref="X21:Y21"/>
    <mergeCell ref="X30:Y30"/>
    <mergeCell ref="X31:Y32"/>
    <mergeCell ref="B1:AM1"/>
    <mergeCell ref="V4:V5"/>
    <mergeCell ref="AM4:AM5"/>
    <mergeCell ref="X6:Y6"/>
    <mergeCell ref="K18:U18"/>
    <mergeCell ref="X18:Y18"/>
    <mergeCell ref="AB18:AL18"/>
    <mergeCell ref="A2:H2"/>
    <mergeCell ref="J2:AM2"/>
    <mergeCell ref="C3:D3"/>
    <mergeCell ref="E3:F3"/>
    <mergeCell ref="G3:H3"/>
    <mergeCell ref="K3:U3"/>
    <mergeCell ref="X3:Y3"/>
    <mergeCell ref="AB3:AL3"/>
  </mergeCells>
  <pageMargins left="0.7" right="0.7" top="0.75" bottom="0.75" header="0.3" footer="0.3"/>
  <pageSetup paperSize="9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9A9EF-851A-4F23-8996-6929923E8E24}">
  <sheetPr>
    <pageSetUpPr fitToPage="1"/>
  </sheetPr>
  <dimension ref="A1:AN44"/>
  <sheetViews>
    <sheetView workbookViewId="0">
      <selection activeCell="B1" sqref="B1:AM1"/>
    </sheetView>
  </sheetViews>
  <sheetFormatPr defaultRowHeight="15" outlineLevelCol="1"/>
  <cols>
    <col min="1" max="1" width="31.85546875" customWidth="1"/>
    <col min="2" max="2" width="29.5703125" customWidth="1"/>
    <col min="3" max="4" width="10.7109375" customWidth="1"/>
    <col min="5" max="5" width="10.7109375" customWidth="1" outlineLevel="1"/>
    <col min="6" max="6" width="10.140625" customWidth="1" outlineLevel="1"/>
    <col min="7" max="8" width="10.7109375" customWidth="1"/>
    <col min="9" max="9" width="3.28515625" customWidth="1"/>
    <col min="10" max="10" width="0.5703125" hidden="1" customWidth="1" outlineLevel="1"/>
    <col min="11" max="11" width="10.7109375" hidden="1" customWidth="1" outlineLevel="1" collapsed="1"/>
    <col min="12" max="15" width="10.7109375" hidden="1" customWidth="1" outlineLevel="1"/>
    <col min="16" max="20" width="9.140625" hidden="1" customWidth="1" outlineLevel="1"/>
    <col min="21" max="21" width="1.85546875" hidden="1" customWidth="1" outlineLevel="1"/>
    <col min="22" max="22" width="9.140625" hidden="1" customWidth="1" outlineLevel="1" collapsed="1"/>
    <col min="23" max="23" width="3" customWidth="1" collapsed="1"/>
    <col min="24" max="24" width="23.7109375" customWidth="1"/>
    <col min="25" max="25" width="18.140625" bestFit="1" customWidth="1"/>
    <col min="26" max="26" width="2.85546875" customWidth="1"/>
    <col min="27" max="27" width="20.7109375" hidden="1" customWidth="1" outlineLevel="1"/>
    <col min="28" max="28" width="10.7109375" customWidth="1" collapsed="1"/>
    <col min="29" max="31" width="10.7109375" customWidth="1"/>
    <col min="32" max="32" width="12.7109375" customWidth="1"/>
    <col min="33" max="38" width="12.7109375" hidden="1" customWidth="1" outlineLevel="1"/>
    <col min="39" max="39" width="12.7109375" customWidth="1" collapsed="1"/>
    <col min="40" max="40" width="12.7109375" customWidth="1"/>
  </cols>
  <sheetData>
    <row r="1" spans="1:40" ht="25.5" customHeight="1">
      <c r="A1" s="237" t="s">
        <v>454</v>
      </c>
      <c r="B1" s="593" t="s">
        <v>455</v>
      </c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  <c r="AF1" s="593"/>
      <c r="AG1" s="593"/>
      <c r="AH1" s="593"/>
      <c r="AI1" s="593"/>
      <c r="AJ1" s="593"/>
      <c r="AK1" s="593"/>
      <c r="AL1" s="593"/>
      <c r="AM1" s="593"/>
    </row>
    <row r="2" spans="1:40" ht="18.75">
      <c r="A2" s="555" t="s">
        <v>35</v>
      </c>
      <c r="B2" s="556"/>
      <c r="C2" s="556"/>
      <c r="D2" s="556"/>
      <c r="E2" s="556"/>
      <c r="F2" s="556"/>
      <c r="G2" s="556"/>
      <c r="H2" s="557"/>
      <c r="I2" s="7"/>
      <c r="J2" s="558" t="s">
        <v>36</v>
      </c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60"/>
    </row>
    <row r="3" spans="1:40" ht="17.25" customHeight="1">
      <c r="A3" s="84"/>
      <c r="C3" s="561" t="s">
        <v>456</v>
      </c>
      <c r="D3" s="562"/>
      <c r="E3" s="561" t="s">
        <v>437</v>
      </c>
      <c r="F3" s="562"/>
      <c r="G3" s="568" t="s">
        <v>39</v>
      </c>
      <c r="H3" s="569"/>
      <c r="J3" s="115" t="s">
        <v>40</v>
      </c>
      <c r="K3" s="533" t="s">
        <v>41</v>
      </c>
      <c r="L3" s="534"/>
      <c r="M3" s="534"/>
      <c r="N3" s="534"/>
      <c r="O3" s="534"/>
      <c r="P3" s="534"/>
      <c r="Q3" s="534"/>
      <c r="R3" s="534"/>
      <c r="S3" s="534"/>
      <c r="T3" s="534"/>
      <c r="U3" s="535"/>
      <c r="V3" s="28"/>
      <c r="W3" s="116"/>
      <c r="X3" s="548" t="s">
        <v>42</v>
      </c>
      <c r="Y3" s="549"/>
      <c r="Z3" s="116"/>
      <c r="AA3" s="27" t="s">
        <v>40</v>
      </c>
      <c r="AB3" s="533" t="s">
        <v>20</v>
      </c>
      <c r="AC3" s="534"/>
      <c r="AD3" s="534"/>
      <c r="AE3" s="534"/>
      <c r="AF3" s="534"/>
      <c r="AG3" s="534"/>
      <c r="AH3" s="534"/>
      <c r="AI3" s="534"/>
      <c r="AJ3" s="534"/>
      <c r="AK3" s="534"/>
      <c r="AL3" s="535"/>
      <c r="AM3" s="117"/>
    </row>
    <row r="4" spans="1:40" ht="16.5" customHeight="1">
      <c r="A4" s="85" t="s">
        <v>43</v>
      </c>
      <c r="B4" s="5" t="s">
        <v>44</v>
      </c>
      <c r="C4" s="83">
        <f>G4/2</f>
        <v>40810.869999999995</v>
      </c>
      <c r="D4" s="128">
        <f>AB7+AC7+AD7</f>
        <v>596</v>
      </c>
      <c r="E4" s="83">
        <f>C4</f>
        <v>40810.869999999995</v>
      </c>
      <c r="F4" s="11"/>
      <c r="G4" s="79">
        <f>Y10+Y11</f>
        <v>81621.739999999991</v>
      </c>
      <c r="H4" s="86">
        <f>D4+F4</f>
        <v>596</v>
      </c>
      <c r="J4" s="118" t="s">
        <v>45</v>
      </c>
      <c r="K4" s="31"/>
      <c r="L4" s="32"/>
      <c r="M4" s="31"/>
      <c r="N4" s="32"/>
      <c r="O4" s="32" t="s">
        <v>457</v>
      </c>
      <c r="P4" s="32"/>
      <c r="Q4" s="32"/>
      <c r="R4" s="32"/>
      <c r="S4" s="32"/>
      <c r="T4" s="32"/>
      <c r="U4" s="32"/>
      <c r="V4" s="527" t="s">
        <v>51</v>
      </c>
      <c r="W4" s="116"/>
      <c r="X4" s="33" t="s">
        <v>52</v>
      </c>
      <c r="Y4" s="34">
        <f>N6</f>
        <v>1</v>
      </c>
      <c r="Z4" s="116"/>
      <c r="AA4" s="30" t="s">
        <v>45</v>
      </c>
      <c r="AB4" s="31" t="s">
        <v>458</v>
      </c>
      <c r="AC4" s="32" t="s">
        <v>459</v>
      </c>
      <c r="AD4" s="31" t="s">
        <v>460</v>
      </c>
      <c r="AE4" s="32" t="s">
        <v>461</v>
      </c>
      <c r="AF4" s="32" t="s">
        <v>462</v>
      </c>
      <c r="AG4" s="32"/>
      <c r="AH4" s="32"/>
      <c r="AI4" s="32"/>
      <c r="AJ4" s="32"/>
      <c r="AK4" s="32"/>
      <c r="AL4" s="32"/>
      <c r="AM4" s="529" t="s">
        <v>51</v>
      </c>
    </row>
    <row r="5" spans="1:40">
      <c r="A5" s="85" t="s">
        <v>53</v>
      </c>
      <c r="B5" s="5" t="s">
        <v>54</v>
      </c>
      <c r="C5" s="192">
        <f>C6+C7+C8+C9+C10+C11+C13+C14+C16+C15+C12</f>
        <v>38097.023272147882</v>
      </c>
      <c r="D5" s="5"/>
      <c r="E5" s="192">
        <f>E6+E7+E8+E9+E10+E11+E13+E14+E16+E15+E12</f>
        <v>32490.632897279997</v>
      </c>
      <c r="F5" s="12"/>
      <c r="G5" s="8">
        <f>G6+G7+G8+G9+G10+G11+G13+G14+G16+G15+G12+G17</f>
        <v>70587.656169427879</v>
      </c>
      <c r="H5" s="87"/>
      <c r="J5" s="119"/>
      <c r="K5" s="80">
        <v>1</v>
      </c>
      <c r="L5" s="80">
        <v>2</v>
      </c>
      <c r="M5" s="80">
        <v>3</v>
      </c>
      <c r="N5" s="80">
        <v>4</v>
      </c>
      <c r="O5" s="80">
        <v>5</v>
      </c>
      <c r="P5" s="80">
        <v>6</v>
      </c>
      <c r="Q5" s="80"/>
      <c r="R5" s="80"/>
      <c r="S5" s="80"/>
      <c r="T5" s="80"/>
      <c r="U5" s="36"/>
      <c r="V5" s="528"/>
      <c r="X5" s="37" t="s">
        <v>55</v>
      </c>
      <c r="Y5" s="38">
        <f>N7+V8</f>
        <v>1.2753396875</v>
      </c>
      <c r="AA5" s="35"/>
      <c r="AB5" s="80">
        <v>1</v>
      </c>
      <c r="AC5" s="80">
        <v>2</v>
      </c>
      <c r="AD5" s="80">
        <v>3</v>
      </c>
      <c r="AE5" s="80">
        <v>4</v>
      </c>
      <c r="AF5" s="80">
        <v>5</v>
      </c>
      <c r="AG5" s="80">
        <v>6</v>
      </c>
      <c r="AH5" s="36">
        <v>7</v>
      </c>
      <c r="AI5" s="36">
        <v>8</v>
      </c>
      <c r="AJ5" s="36">
        <v>9</v>
      </c>
      <c r="AK5" s="36">
        <v>10</v>
      </c>
      <c r="AL5" s="36">
        <v>11</v>
      </c>
      <c r="AM5" s="530"/>
    </row>
    <row r="6" spans="1:40">
      <c r="A6" s="88" t="s">
        <v>56</v>
      </c>
      <c r="B6" s="81" t="s">
        <v>57</v>
      </c>
      <c r="C6" s="134">
        <f>214.09+453.94+2082.71+142.35+483.7+2626.73+212.5+409/3+182.99+275.47+36.47+157.69+56.2+5749.5+52.35+71.54+34.68+25.2+124.2+316.75+311.8+218.4+283.5+84+351.95+30+3.19</f>
        <v>14718.233333333335</v>
      </c>
      <c r="D6" s="156">
        <f>C6+C7+C8</f>
        <v>15008.653333333335</v>
      </c>
      <c r="E6" s="142">
        <f>9.97+69.66+168.14+95.38+27.75+151.11+46.09+178.57+18.46+72.54+132.15+56.77+5.2+6.55+233.98+15.99+178.17+379.45+55.35+52.35+59.75+424.99+477.36+109.15+50.85+91.95+111.55+465.95-225.09+6913.27+100</f>
        <v>10533.36</v>
      </c>
      <c r="F6" s="13">
        <f>E6+E7+E8</f>
        <v>15879.83</v>
      </c>
      <c r="G6" s="9">
        <f>C6+E6</f>
        <v>25251.593333333338</v>
      </c>
      <c r="H6" s="90">
        <f>G6+G7+G8</f>
        <v>30888.483333333337</v>
      </c>
      <c r="J6" s="120"/>
      <c r="K6" s="39">
        <v>0.25</v>
      </c>
      <c r="L6" s="40">
        <v>0.5</v>
      </c>
      <c r="M6" s="40">
        <v>0.75</v>
      </c>
      <c r="N6" s="40">
        <v>1</v>
      </c>
      <c r="O6" s="40"/>
      <c r="P6" s="40"/>
      <c r="Q6" s="40"/>
      <c r="R6" s="40"/>
      <c r="S6" s="40"/>
      <c r="T6" s="40"/>
      <c r="U6" s="41"/>
      <c r="V6" s="40">
        <f>N6</f>
        <v>1</v>
      </c>
      <c r="X6" s="531" t="s">
        <v>58</v>
      </c>
      <c r="Y6" s="532"/>
      <c r="AA6" s="42"/>
      <c r="AB6" s="43">
        <f>AM6/5</f>
        <v>141.6</v>
      </c>
      <c r="AC6" s="43">
        <f>AB6</f>
        <v>141.6</v>
      </c>
      <c r="AD6" s="43">
        <f>AB6</f>
        <v>141.6</v>
      </c>
      <c r="AE6" s="43">
        <f>AB6</f>
        <v>141.6</v>
      </c>
      <c r="AF6" s="43">
        <f>AB6</f>
        <v>141.6</v>
      </c>
      <c r="AG6" s="43"/>
      <c r="AH6" s="44"/>
      <c r="AI6" s="44"/>
      <c r="AJ6" s="44"/>
      <c r="AK6" s="44"/>
      <c r="AL6" s="44"/>
      <c r="AM6" s="121">
        <v>708</v>
      </c>
    </row>
    <row r="7" spans="1:40">
      <c r="A7" s="91" t="s">
        <v>59</v>
      </c>
      <c r="B7" s="92" t="s">
        <v>60</v>
      </c>
      <c r="C7" s="134"/>
      <c r="D7" s="13"/>
      <c r="E7" s="142">
        <f>188.97+1950/4</f>
        <v>676.47</v>
      </c>
      <c r="F7" s="13"/>
      <c r="G7" s="9">
        <f t="shared" ref="G7:G16" si="0">C7+E7</f>
        <v>676.47</v>
      </c>
      <c r="H7" s="90"/>
      <c r="J7" s="122"/>
      <c r="K7" s="45">
        <v>0.25</v>
      </c>
      <c r="L7" s="46">
        <v>0.5</v>
      </c>
      <c r="M7" s="46">
        <v>0.75</v>
      </c>
      <c r="N7" s="46">
        <v>1</v>
      </c>
      <c r="O7" s="46"/>
      <c r="P7" s="46"/>
      <c r="Q7" s="46"/>
      <c r="R7" s="46"/>
      <c r="S7" s="46"/>
      <c r="T7" s="46"/>
      <c r="U7" s="47"/>
      <c r="V7" s="48">
        <f>O7+N7</f>
        <v>1</v>
      </c>
      <c r="X7" s="49" t="s">
        <v>52</v>
      </c>
      <c r="Y7" s="50">
        <f>AM6/Y13</f>
        <v>9.1119691119691115</v>
      </c>
      <c r="AA7" s="51"/>
      <c r="AB7" s="52">
        <v>92</v>
      </c>
      <c r="AC7" s="53">
        <v>225</v>
      </c>
      <c r="AD7" s="53">
        <f>217+62</f>
        <v>279</v>
      </c>
      <c r="AE7" s="53">
        <v>120</v>
      </c>
      <c r="AF7" s="53">
        <f>175+226</f>
        <v>401</v>
      </c>
      <c r="AG7" s="53"/>
      <c r="AH7" s="54"/>
      <c r="AI7" s="54"/>
      <c r="AJ7" s="54"/>
      <c r="AK7" s="54"/>
      <c r="AL7" s="54"/>
      <c r="AM7" s="167">
        <f>AB7+AC7+AD7+AE7+AF7+AG7+AL7+AH7+AI7+AJ7+AK7</f>
        <v>1117</v>
      </c>
      <c r="AN7" s="1">
        <f>H9+G14+G15+500</f>
        <v>38156.232836094539</v>
      </c>
    </row>
    <row r="8" spans="1:40">
      <c r="A8" s="93" t="s">
        <v>61</v>
      </c>
      <c r="B8" s="82" t="s">
        <v>62</v>
      </c>
      <c r="C8" s="155">
        <f>105+75+90+12.92+7.5</f>
        <v>290.42</v>
      </c>
      <c r="D8" s="14"/>
      <c r="E8" s="196">
        <f>2150+20+102.97+120+225+15+10+30+20+2500+15.89+99.93+30+75+150+34.72+25.97+30+20-1004.48</f>
        <v>4670</v>
      </c>
      <c r="F8" s="14"/>
      <c r="G8" s="9">
        <f t="shared" si="0"/>
        <v>4960.42</v>
      </c>
      <c r="H8" s="95"/>
      <c r="J8" s="124"/>
      <c r="K8" s="55"/>
      <c r="L8" s="55"/>
      <c r="M8" s="56"/>
      <c r="N8" s="56"/>
      <c r="O8" s="56">
        <f>Y11/Y10</f>
        <v>0.27533968749999999</v>
      </c>
      <c r="P8" s="56"/>
      <c r="Q8" s="58"/>
      <c r="R8" s="58"/>
      <c r="S8" s="58"/>
      <c r="T8" s="58"/>
      <c r="U8" s="58"/>
      <c r="V8" s="56">
        <f>SUM(K8:U8)</f>
        <v>0.27533968749999999</v>
      </c>
      <c r="X8" s="59" t="s">
        <v>55</v>
      </c>
      <c r="Y8" s="60">
        <f>AM7/Y13</f>
        <v>14.375804375804375</v>
      </c>
      <c r="AM8" s="105"/>
      <c r="AN8" s="1">
        <f>AN7/AM7</f>
        <v>34.159563864005854</v>
      </c>
    </row>
    <row r="9" spans="1:40">
      <c r="A9" s="88" t="s">
        <v>63</v>
      </c>
      <c r="B9" s="81" t="s">
        <v>64</v>
      </c>
      <c r="C9" s="138">
        <f>590.5*2*1.42+((23*12+136*2*13+89*14)-71*50)*1.42+(2500/22*18-18*50)*1.42</f>
        <v>5444.9254545454542</v>
      </c>
      <c r="D9" s="151">
        <f>C9+C10+C11+C13+C12</f>
        <v>17374.494938814547</v>
      </c>
      <c r="E9" s="160">
        <f>((13*59*2+14*59+14.5*59*2+50*5+113*27)-E13)*1.42</f>
        <v>4291.24</v>
      </c>
      <c r="F9" s="137">
        <f>E9+E10+E11+E13+E12</f>
        <v>12934.58789728</v>
      </c>
      <c r="G9" s="24">
        <f t="shared" si="0"/>
        <v>9736.1654545454548</v>
      </c>
      <c r="H9" s="96">
        <f>G9+G10+G11+G13+G12</f>
        <v>30309.082836094542</v>
      </c>
      <c r="J9" s="84"/>
      <c r="AM9" s="105"/>
    </row>
    <row r="10" spans="1:40">
      <c r="A10" s="91" t="s">
        <v>65</v>
      </c>
      <c r="B10" s="92" t="s">
        <v>66</v>
      </c>
      <c r="C10" s="134">
        <f>C9*0.2359</f>
        <v>1284.4579147272727</v>
      </c>
      <c r="D10" s="13"/>
      <c r="E10" s="159">
        <f>E9*0.2359</f>
        <v>1012.3035159999999</v>
      </c>
      <c r="F10" s="89"/>
      <c r="G10" s="25">
        <f t="shared" si="0"/>
        <v>2296.7614307272725</v>
      </c>
      <c r="H10" s="95"/>
      <c r="J10" s="84"/>
      <c r="X10" s="10" t="s">
        <v>67</v>
      </c>
      <c r="Y10" s="61">
        <v>64000</v>
      </c>
      <c r="AM10" s="105"/>
    </row>
    <row r="11" spans="1:40">
      <c r="A11" s="91" t="s">
        <v>68</v>
      </c>
      <c r="B11" s="92" t="s">
        <v>69</v>
      </c>
      <c r="C11" s="134">
        <f>(C9+C10)*0.08</f>
        <v>538.35066954181809</v>
      </c>
      <c r="D11" s="13"/>
      <c r="E11" s="159">
        <f>(E9+E10)*0.08</f>
        <v>424.28348127999999</v>
      </c>
      <c r="F11" s="89"/>
      <c r="G11" s="25">
        <f t="shared" si="0"/>
        <v>962.63415082181814</v>
      </c>
      <c r="H11" s="95"/>
      <c r="J11" s="84"/>
      <c r="X11" s="62" t="s">
        <v>70</v>
      </c>
      <c r="Y11" s="201">
        <f>12797.13+4824.61</f>
        <v>17621.739999999998</v>
      </c>
      <c r="AM11" s="105"/>
    </row>
    <row r="12" spans="1:40">
      <c r="A12" s="97" t="s">
        <v>71</v>
      </c>
      <c r="B12" s="98" t="s">
        <v>72</v>
      </c>
      <c r="C12" s="135">
        <f>(C4)*0.07</f>
        <v>2856.7608999999998</v>
      </c>
      <c r="D12" s="142"/>
      <c r="E12" s="159">
        <f>(E4)*0.07</f>
        <v>2856.7608999999998</v>
      </c>
      <c r="F12" s="131"/>
      <c r="G12" s="25">
        <f t="shared" si="0"/>
        <v>5713.5217999999995</v>
      </c>
      <c r="H12" s="95"/>
      <c r="J12" s="84"/>
      <c r="AM12" s="105"/>
    </row>
    <row r="13" spans="1:40">
      <c r="A13" s="91" t="s">
        <v>73</v>
      </c>
      <c r="B13" s="92" t="s">
        <v>74</v>
      </c>
      <c r="C13" s="139">
        <v>7250</v>
      </c>
      <c r="D13" s="143"/>
      <c r="E13" s="195">
        <f>5*50*11+16*2*50</f>
        <v>4350</v>
      </c>
      <c r="F13" s="133"/>
      <c r="G13" s="26">
        <f t="shared" si="0"/>
        <v>11600</v>
      </c>
      <c r="H13" s="99"/>
      <c r="J13" s="84"/>
      <c r="X13" s="64" t="s">
        <v>75</v>
      </c>
      <c r="Y13" s="65">
        <f>67.18+10.52</f>
        <v>77.7</v>
      </c>
      <c r="AM13" s="105"/>
    </row>
    <row r="14" spans="1:40">
      <c r="A14" s="100" t="s">
        <v>76</v>
      </c>
      <c r="B14" s="81" t="s">
        <v>77</v>
      </c>
      <c r="C14" s="19">
        <f>3348.56+498.96</f>
        <v>3847.52</v>
      </c>
      <c r="D14" s="156">
        <f>C14+C16+C15</f>
        <v>5713.875</v>
      </c>
      <c r="E14" s="159">
        <f>1931.85/2+1098/2</f>
        <v>1514.925</v>
      </c>
      <c r="F14" s="156">
        <f>E14+E16+E15</f>
        <v>3676.2150000000001</v>
      </c>
      <c r="G14" s="9">
        <f t="shared" si="0"/>
        <v>5362.4449999999997</v>
      </c>
      <c r="H14" s="95">
        <f>G14+G16+G15+G17</f>
        <v>9390.09</v>
      </c>
      <c r="J14" s="84"/>
      <c r="X14" s="66" t="s">
        <v>78</v>
      </c>
      <c r="Y14" s="66" t="s">
        <v>79</v>
      </c>
      <c r="AM14" s="105"/>
    </row>
    <row r="15" spans="1:40">
      <c r="A15" s="101" t="s">
        <v>80</v>
      </c>
      <c r="B15" s="92" t="s">
        <v>81</v>
      </c>
      <c r="C15" s="134">
        <f>35.8+411.96/2+60+23.43+296.4+233.99/2</f>
        <v>738.6049999999999</v>
      </c>
      <c r="D15" s="13"/>
      <c r="E15" s="13">
        <f>495.96+51+70.16+232.18/2+60.1+905.58/2</f>
        <v>1246.1000000000001</v>
      </c>
      <c r="F15" s="13"/>
      <c r="G15" s="9">
        <f t="shared" si="0"/>
        <v>1984.7049999999999</v>
      </c>
      <c r="H15" s="95"/>
      <c r="J15" s="84"/>
      <c r="X15" s="67" t="s">
        <v>82</v>
      </c>
      <c r="Y15" s="68">
        <v>13</v>
      </c>
      <c r="AM15" s="105"/>
    </row>
    <row r="16" spans="1:40">
      <c r="A16" s="91" t="s">
        <v>83</v>
      </c>
      <c r="B16" s="92" t="s">
        <v>84</v>
      </c>
      <c r="C16" s="19">
        <f>24.9+0.79+1+4+168+422/2+2.5+20+77.99+26.61+58.23+2.5+18.7+32+28.8+3.1+370/2+7.5+2+7.5+5+12.5+7.5+85+112.94+0.89+4.7+1.5+2.6+8+5</f>
        <v>1127.75</v>
      </c>
      <c r="D16" s="13"/>
      <c r="E16" s="13">
        <f>125+7.5+16+5+25+5+86.99+2.5+2.5+12.5+270+16+60.01+3.3+4+3.5+75.99+194.4</f>
        <v>915.18999999999994</v>
      </c>
      <c r="F16" s="13"/>
      <c r="G16" s="9">
        <f t="shared" si="0"/>
        <v>2042.94</v>
      </c>
      <c r="H16" s="95"/>
      <c r="J16" s="84"/>
      <c r="X16" s="67" t="s">
        <v>85</v>
      </c>
      <c r="Y16" s="68">
        <v>12</v>
      </c>
      <c r="AM16" s="105"/>
    </row>
    <row r="17" spans="1:39">
      <c r="A17" s="91"/>
      <c r="B17" s="92"/>
      <c r="C17" s="19"/>
      <c r="D17" s="13"/>
      <c r="E17" s="13"/>
      <c r="F17" s="13"/>
      <c r="G17" s="9"/>
      <c r="H17" s="95"/>
      <c r="J17" s="84"/>
      <c r="X17" s="202"/>
      <c r="Y17" s="203"/>
      <c r="AM17" s="105"/>
    </row>
    <row r="18" spans="1:39">
      <c r="A18" s="85" t="s">
        <v>86</v>
      </c>
      <c r="B18" s="5" t="s">
        <v>87</v>
      </c>
      <c r="C18" s="185">
        <f>C4-C5</f>
        <v>2713.846727852113</v>
      </c>
      <c r="D18" s="129">
        <f>C18/C4</f>
        <v>6.6498134635505524E-2</v>
      </c>
      <c r="E18" s="185">
        <f>E4-E5</f>
        <v>8320.2371027199988</v>
      </c>
      <c r="F18" s="130">
        <f>E18/E4</f>
        <v>0.20387306378717238</v>
      </c>
      <c r="G18" s="16">
        <f>G4-G5</f>
        <v>11034.083830572112</v>
      </c>
      <c r="H18" s="102">
        <f>G18/G4</f>
        <v>0.13518559921133896</v>
      </c>
      <c r="J18" s="84"/>
      <c r="AM18" s="105"/>
    </row>
    <row r="19" spans="1:39" ht="19.5" customHeight="1">
      <c r="A19" s="103"/>
      <c r="B19" s="104"/>
      <c r="C19" s="104"/>
      <c r="D19" s="104"/>
      <c r="E19" s="104"/>
      <c r="F19" s="104"/>
      <c r="H19" s="105"/>
      <c r="J19" s="115" t="s">
        <v>40</v>
      </c>
      <c r="K19" s="533" t="s">
        <v>88</v>
      </c>
      <c r="L19" s="534"/>
      <c r="M19" s="534"/>
      <c r="N19" s="534"/>
      <c r="O19" s="534"/>
      <c r="P19" s="534"/>
      <c r="Q19" s="534"/>
      <c r="R19" s="534"/>
      <c r="S19" s="534"/>
      <c r="T19" s="534"/>
      <c r="U19" s="535"/>
      <c r="V19" s="29"/>
      <c r="X19" s="520" t="s">
        <v>89</v>
      </c>
      <c r="Y19" s="520"/>
      <c r="AA19" s="27" t="s">
        <v>40</v>
      </c>
      <c r="AB19" s="533" t="s">
        <v>90</v>
      </c>
      <c r="AC19" s="534"/>
      <c r="AD19" s="534"/>
      <c r="AE19" s="534"/>
      <c r="AF19" s="534"/>
      <c r="AG19" s="534"/>
      <c r="AH19" s="534"/>
      <c r="AI19" s="534"/>
      <c r="AJ19" s="534"/>
      <c r="AK19" s="534"/>
      <c r="AL19" s="535"/>
      <c r="AM19" s="117"/>
    </row>
    <row r="20" spans="1:39" ht="24" customHeight="1">
      <c r="A20" s="106" t="s">
        <v>91</v>
      </c>
      <c r="B20" s="4" t="s">
        <v>92</v>
      </c>
      <c r="C20" s="107"/>
      <c r="D20" s="107"/>
      <c r="E20" s="107"/>
      <c r="F20" s="107"/>
      <c r="H20" s="105"/>
      <c r="J20" s="118" t="s">
        <v>45</v>
      </c>
      <c r="K20" s="31"/>
      <c r="L20" s="32"/>
      <c r="M20" s="31"/>
      <c r="N20" s="32"/>
      <c r="O20" s="32"/>
      <c r="P20" s="32"/>
      <c r="Q20" s="31"/>
      <c r="R20" s="31"/>
      <c r="S20" s="31"/>
      <c r="T20" s="31"/>
      <c r="U20" s="31"/>
      <c r="V20" s="516" t="s">
        <v>51</v>
      </c>
      <c r="X20" s="69" t="s">
        <v>52</v>
      </c>
      <c r="Y20" s="50">
        <v>7562.42</v>
      </c>
      <c r="AA20" s="30" t="s">
        <v>45</v>
      </c>
      <c r="AB20" s="31" t="str">
        <f>AB4</f>
        <v>11/01-15/01</v>
      </c>
      <c r="AC20" s="32" t="str">
        <f>AC4</f>
        <v>16/01-22/01</v>
      </c>
      <c r="AD20" s="31" t="str">
        <f>AD4</f>
        <v>23/01-29/01</v>
      </c>
      <c r="AE20" s="32" t="str">
        <f>AE4</f>
        <v>30/01-05/02</v>
      </c>
      <c r="AF20" s="32" t="str">
        <f>AF4</f>
        <v>06/02-12/02</v>
      </c>
      <c r="AG20" s="32"/>
      <c r="AH20" s="31"/>
      <c r="AI20" s="31"/>
      <c r="AJ20" s="31"/>
      <c r="AK20" s="31"/>
      <c r="AL20" s="31"/>
      <c r="AM20" s="518" t="s">
        <v>51</v>
      </c>
    </row>
    <row r="21" spans="1:39">
      <c r="A21" s="110" t="s">
        <v>93</v>
      </c>
      <c r="B21" s="3">
        <f>H6/G5*100</f>
        <v>43.759043733076105</v>
      </c>
      <c r="C21" s="109"/>
      <c r="D21" s="109"/>
      <c r="E21" s="109"/>
      <c r="F21" s="109"/>
      <c r="H21" s="105"/>
      <c r="J21" s="118"/>
      <c r="K21" s="70">
        <v>1</v>
      </c>
      <c r="L21" s="70">
        <v>2</v>
      </c>
      <c r="M21" s="70">
        <v>3</v>
      </c>
      <c r="N21" s="70">
        <v>4</v>
      </c>
      <c r="O21" s="70">
        <v>5</v>
      </c>
      <c r="P21" s="70">
        <v>6</v>
      </c>
      <c r="Q21" s="70"/>
      <c r="R21" s="70"/>
      <c r="S21" s="70"/>
      <c r="T21" s="70"/>
      <c r="U21" s="70"/>
      <c r="V21" s="517"/>
      <c r="X21" s="71" t="s">
        <v>55</v>
      </c>
      <c r="Y21" s="60">
        <f>G6+G7</f>
        <v>25928.063333333339</v>
      </c>
      <c r="AA21" s="30"/>
      <c r="AB21" s="70">
        <v>1</v>
      </c>
      <c r="AC21" s="70">
        <v>2</v>
      </c>
      <c r="AD21" s="70">
        <v>3</v>
      </c>
      <c r="AE21" s="70">
        <v>4</v>
      </c>
      <c r="AF21" s="70">
        <v>5</v>
      </c>
      <c r="AG21" s="70">
        <v>6</v>
      </c>
      <c r="AH21" s="70">
        <v>7</v>
      </c>
      <c r="AI21" s="70">
        <v>8</v>
      </c>
      <c r="AJ21" s="70">
        <v>9</v>
      </c>
      <c r="AK21" s="70">
        <v>10</v>
      </c>
      <c r="AL21" s="70">
        <v>11</v>
      </c>
      <c r="AM21" s="519"/>
    </row>
    <row r="22" spans="1:39">
      <c r="A22" s="110" t="s">
        <v>94</v>
      </c>
      <c r="B22" s="3">
        <f>H9/G5*100</f>
        <v>42.938219627728145</v>
      </c>
      <c r="C22" s="109"/>
      <c r="D22" s="109"/>
      <c r="E22" s="109"/>
      <c r="F22" s="109"/>
      <c r="H22" s="105"/>
      <c r="J22" s="125"/>
      <c r="K22" s="73">
        <f>V22/4</f>
        <v>1890.605</v>
      </c>
      <c r="L22" s="73">
        <f>K22</f>
        <v>1890.605</v>
      </c>
      <c r="M22" s="73">
        <f>K22</f>
        <v>1890.605</v>
      </c>
      <c r="N22" s="73">
        <f>V22/4</f>
        <v>1890.605</v>
      </c>
      <c r="O22" s="73"/>
      <c r="P22" s="73"/>
      <c r="Q22" s="73"/>
      <c r="R22" s="73"/>
      <c r="S22" s="73"/>
      <c r="T22" s="73"/>
      <c r="U22" s="73"/>
      <c r="V22" s="74">
        <f>Y20</f>
        <v>7562.42</v>
      </c>
      <c r="X22" s="520" t="s">
        <v>90</v>
      </c>
      <c r="Y22" s="520"/>
      <c r="AA22" s="72"/>
      <c r="AB22" s="73">
        <f>AM22/5</f>
        <v>1110</v>
      </c>
      <c r="AC22" s="73">
        <f>AB22</f>
        <v>1110</v>
      </c>
      <c r="AD22" s="73">
        <f>AB22</f>
        <v>1110</v>
      </c>
      <c r="AE22" s="73">
        <f>AB22</f>
        <v>1110</v>
      </c>
      <c r="AF22" s="73">
        <f>AB22</f>
        <v>1110</v>
      </c>
      <c r="AG22" s="73"/>
      <c r="AH22" s="73"/>
      <c r="AI22" s="73"/>
      <c r="AJ22" s="73"/>
      <c r="AK22" s="73"/>
      <c r="AL22" s="73"/>
      <c r="AM22" s="126">
        <f>Y23</f>
        <v>5550</v>
      </c>
    </row>
    <row r="23" spans="1:39">
      <c r="A23" s="111" t="s">
        <v>95</v>
      </c>
      <c r="B23" s="2">
        <f>H14/G5*100</f>
        <v>13.302736639195748</v>
      </c>
      <c r="C23" s="109"/>
      <c r="D23" s="109"/>
      <c r="E23" s="109"/>
      <c r="F23" s="109"/>
      <c r="H23" s="105"/>
      <c r="J23" s="125"/>
      <c r="K23" s="75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163">
        <f t="shared" ref="V23" si="1">K23+L23+M23+N23+O23+P23+U23+Q23+R23+S23+T23</f>
        <v>0</v>
      </c>
      <c r="X23" s="69" t="s">
        <v>52</v>
      </c>
      <c r="Y23" s="50">
        <f>6910-1360</f>
        <v>5550</v>
      </c>
      <c r="AA23" s="72"/>
      <c r="AB23" s="75">
        <f>241.78+3348.56</f>
        <v>3590.34</v>
      </c>
      <c r="AC23" s="76">
        <f>60+296.4+239.99/2</f>
        <v>476.39499999999998</v>
      </c>
      <c r="AD23" s="76"/>
      <c r="AE23" s="76">
        <f>20.43+498.96+60</f>
        <v>579.39</v>
      </c>
      <c r="AF23" s="76">
        <f>1931.85/2+733.21+1098/2+905.58/2</f>
        <v>2700.9250000000002</v>
      </c>
      <c r="AG23" s="76"/>
      <c r="AH23" s="76"/>
      <c r="AI23" s="76"/>
      <c r="AJ23" s="76"/>
      <c r="AK23" s="76"/>
      <c r="AL23" s="76"/>
      <c r="AM23" s="233">
        <f t="shared" ref="AM23" si="2">AB23+AC23+AD23+AE23+AF23+AG23+AL23+AH23+AI23+AJ23+AK23</f>
        <v>7347.05</v>
      </c>
    </row>
    <row r="24" spans="1:39">
      <c r="A24" s="84"/>
      <c r="H24" s="105"/>
      <c r="J24" s="84"/>
      <c r="X24" s="71" t="s">
        <v>55</v>
      </c>
      <c r="Y24" s="60">
        <f>AM23</f>
        <v>7347.05</v>
      </c>
      <c r="AM24" s="105"/>
    </row>
    <row r="25" spans="1:39">
      <c r="A25" s="84"/>
      <c r="H25" s="105"/>
      <c r="J25" s="84"/>
      <c r="V25" s="128"/>
      <c r="AM25" s="105"/>
    </row>
    <row r="26" spans="1:39" ht="24.75" customHeight="1">
      <c r="A26" s="84"/>
      <c r="H26" s="105"/>
      <c r="J26" s="84"/>
      <c r="X26" s="10" t="s">
        <v>96</v>
      </c>
      <c r="Y26" s="145">
        <v>17743</v>
      </c>
      <c r="AM26" s="105"/>
    </row>
    <row r="27" spans="1:39" ht="27.75">
      <c r="A27" s="84"/>
      <c r="B27" t="s">
        <v>72</v>
      </c>
      <c r="H27" s="105"/>
      <c r="J27" s="84"/>
      <c r="X27" s="10" t="s">
        <v>97</v>
      </c>
      <c r="Y27" s="145">
        <v>14198</v>
      </c>
      <c r="AM27" s="105"/>
    </row>
    <row r="28" spans="1:39">
      <c r="A28" s="84"/>
      <c r="H28" s="105"/>
      <c r="J28" s="84"/>
      <c r="AM28" s="105"/>
    </row>
    <row r="29" spans="1:39">
      <c r="A29" s="84"/>
      <c r="H29" s="105"/>
      <c r="J29" s="84"/>
      <c r="AM29" s="105"/>
    </row>
    <row r="30" spans="1:39">
      <c r="A30" s="84"/>
      <c r="H30" s="105"/>
      <c r="J30" s="84"/>
      <c r="AM30" s="105"/>
    </row>
    <row r="31" spans="1:39">
      <c r="A31" s="84"/>
      <c r="H31" s="105"/>
      <c r="J31" s="84"/>
      <c r="X31" s="521" t="s">
        <v>98</v>
      </c>
      <c r="Y31" s="522"/>
      <c r="AM31" s="105"/>
    </row>
    <row r="32" spans="1:39">
      <c r="A32" s="84"/>
      <c r="H32" s="105"/>
      <c r="J32" s="84"/>
      <c r="X32" s="523" t="s">
        <v>463</v>
      </c>
      <c r="Y32" s="524"/>
      <c r="AM32" s="105"/>
    </row>
    <row r="33" spans="1:39">
      <c r="A33" s="112"/>
      <c r="B33" s="113"/>
      <c r="C33" s="113"/>
      <c r="D33" s="113"/>
      <c r="E33" s="113"/>
      <c r="F33" s="113"/>
      <c r="G33" s="113"/>
      <c r="H33" s="114"/>
      <c r="J33" s="112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525"/>
      <c r="Y33" s="526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4"/>
    </row>
    <row r="38" spans="1:39">
      <c r="A38" s="225" t="s">
        <v>428</v>
      </c>
      <c r="B38" s="254">
        <f>SUM(B39:B44)</f>
        <v>14198.767022</v>
      </c>
      <c r="C38">
        <v>13133.4</v>
      </c>
      <c r="I38" s="1"/>
    </row>
    <row r="39" spans="1:39">
      <c r="A39" t="s">
        <v>429</v>
      </c>
      <c r="B39" s="1">
        <f>205.98+23.43+19.9+116.995+51+495.96+70.16+540+60.1</f>
        <v>1583.5249999999999</v>
      </c>
    </row>
    <row r="40" spans="1:39">
      <c r="A40" s="252" t="s">
        <v>430</v>
      </c>
      <c r="B40" s="1">
        <f>((22*15+18*12+22*16+12*113+15*113)-B41)*1.42*1.2359</f>
        <v>2630.7120219999997</v>
      </c>
    </row>
    <row r="41" spans="1:39">
      <c r="A41" t="s">
        <v>431</v>
      </c>
      <c r="B41" s="1">
        <f>17*50+16*2*50</f>
        <v>2450</v>
      </c>
    </row>
    <row r="42" spans="1:39">
      <c r="A42" t="s">
        <v>432</v>
      </c>
      <c r="B42">
        <f>2626.73+79.63</f>
        <v>2706.36</v>
      </c>
    </row>
    <row r="43" spans="1:39">
      <c r="A43" t="s">
        <v>446</v>
      </c>
    </row>
    <row r="44" spans="1:39">
      <c r="A44" t="s">
        <v>434</v>
      </c>
      <c r="B44">
        <f>2150+2678.17</f>
        <v>4828.17</v>
      </c>
    </row>
  </sheetData>
  <mergeCells count="20">
    <mergeCell ref="B1:AM1"/>
    <mergeCell ref="A2:H2"/>
    <mergeCell ref="J2:AM2"/>
    <mergeCell ref="C3:D3"/>
    <mergeCell ref="E3:F3"/>
    <mergeCell ref="G3:H3"/>
    <mergeCell ref="K3:U3"/>
    <mergeCell ref="X3:Y3"/>
    <mergeCell ref="AB3:AL3"/>
    <mergeCell ref="V4:V5"/>
    <mergeCell ref="AM4:AM5"/>
    <mergeCell ref="X6:Y6"/>
    <mergeCell ref="K19:U19"/>
    <mergeCell ref="X19:Y19"/>
    <mergeCell ref="AB19:AL19"/>
    <mergeCell ref="V20:V21"/>
    <mergeCell ref="AM20:AM21"/>
    <mergeCell ref="X22:Y22"/>
    <mergeCell ref="X31:Y31"/>
    <mergeCell ref="X32:Y33"/>
  </mergeCells>
  <pageMargins left="0.7" right="0.7" top="0.75" bottom="0.75" header="0.3" footer="0.3"/>
  <pageSetup paperSize="9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42C-09A0-4DDB-9EA3-0A79BF882AD8}">
  <sheetPr>
    <pageSetUpPr fitToPage="1"/>
  </sheetPr>
  <dimension ref="A1:AP38"/>
  <sheetViews>
    <sheetView workbookViewId="0">
      <selection activeCell="G13" sqref="G13"/>
    </sheetView>
  </sheetViews>
  <sheetFormatPr defaultColWidth="9.140625" defaultRowHeight="15" outlineLevelCol="1"/>
  <cols>
    <col min="1" max="1" width="34.85546875" customWidth="1"/>
    <col min="2" max="2" width="30.140625" bestFit="1" customWidth="1"/>
    <col min="3" max="3" width="10.28515625" customWidth="1"/>
    <col min="4" max="8" width="8.7109375" customWidth="1"/>
    <col min="9" max="10" width="10.7109375" customWidth="1"/>
    <col min="11" max="11" width="3.28515625" customWidth="1"/>
    <col min="12" max="12" width="4" hidden="1" customWidth="1" outlineLevel="1"/>
    <col min="13" max="13" width="10.7109375" hidden="1" customWidth="1" outlineLevel="1" collapsed="1"/>
    <col min="14" max="17" width="10.7109375" hidden="1" customWidth="1" outlineLevel="1"/>
    <col min="18" max="23" width="9.140625" hidden="1" customWidth="1" outlineLevel="1"/>
    <col min="24" max="24" width="9.140625" hidden="1" customWidth="1" outlineLevel="1" collapsed="1"/>
    <col min="25" max="25" width="3" hidden="1" customWidth="1" outlineLevel="1" collapsed="1"/>
    <col min="26" max="26" width="23.7109375" customWidth="1" collapsed="1"/>
    <col min="27" max="27" width="15.5703125" customWidth="1"/>
    <col min="28" max="28" width="2.85546875" customWidth="1"/>
    <col min="29" max="29" width="20.7109375" hidden="1" customWidth="1" outlineLevel="1"/>
    <col min="30" max="30" width="6.7109375" customWidth="1" collapsed="1"/>
    <col min="31" max="38" width="6.7109375" customWidth="1"/>
    <col min="39" max="40" width="6.7109375" hidden="1" customWidth="1" outlineLevel="1"/>
    <col min="41" max="41" width="8.7109375" customWidth="1" collapsed="1"/>
    <col min="42" max="42" width="12.7109375" customWidth="1"/>
  </cols>
  <sheetData>
    <row r="1" spans="1:42" ht="26.25">
      <c r="A1" s="237" t="s">
        <v>464</v>
      </c>
      <c r="B1" s="623" t="s">
        <v>465</v>
      </c>
      <c r="C1" s="623"/>
      <c r="D1" s="623"/>
      <c r="E1" s="623"/>
      <c r="F1" s="623"/>
      <c r="G1" s="623"/>
      <c r="H1" s="623"/>
      <c r="I1" s="623"/>
      <c r="J1" s="623"/>
      <c r="K1" s="623"/>
      <c r="L1" s="623"/>
      <c r="M1" s="623"/>
      <c r="N1" s="623"/>
      <c r="O1" s="623"/>
      <c r="P1" s="623"/>
      <c r="Q1" s="623"/>
      <c r="R1" s="623"/>
      <c r="S1" s="623"/>
      <c r="T1" s="623"/>
      <c r="U1" s="623"/>
      <c r="V1" s="623"/>
      <c r="W1" s="623"/>
      <c r="X1" s="623"/>
      <c r="Y1" s="623"/>
      <c r="Z1" s="623"/>
      <c r="AA1" s="623"/>
      <c r="AB1" s="623"/>
      <c r="AC1" s="623"/>
      <c r="AD1" s="623"/>
      <c r="AE1" s="623"/>
      <c r="AF1" s="623"/>
      <c r="AG1" s="623"/>
      <c r="AH1" s="623"/>
      <c r="AI1" s="623"/>
      <c r="AJ1" s="623"/>
      <c r="AK1" s="623"/>
      <c r="AL1" s="623"/>
      <c r="AM1" s="623"/>
      <c r="AN1" s="623"/>
      <c r="AO1" s="623"/>
    </row>
    <row r="2" spans="1:42" ht="18.75">
      <c r="A2" s="555" t="s">
        <v>35</v>
      </c>
      <c r="B2" s="556"/>
      <c r="C2" s="556"/>
      <c r="D2" s="556"/>
      <c r="E2" s="556"/>
      <c r="F2" s="556"/>
      <c r="G2" s="556"/>
      <c r="H2" s="556"/>
      <c r="I2" s="556"/>
      <c r="J2" s="557"/>
      <c r="K2" s="7"/>
      <c r="L2" s="558" t="s">
        <v>36</v>
      </c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59"/>
      <c r="AN2" s="559"/>
      <c r="AO2" s="560"/>
    </row>
    <row r="3" spans="1:42" ht="20.25" customHeight="1">
      <c r="A3" s="84"/>
      <c r="C3" s="561">
        <v>44927</v>
      </c>
      <c r="D3" s="562"/>
      <c r="E3" s="561">
        <v>44958</v>
      </c>
      <c r="F3" s="562"/>
      <c r="G3" s="561" t="s">
        <v>466</v>
      </c>
      <c r="H3" s="562"/>
      <c r="I3" s="568" t="s">
        <v>39</v>
      </c>
      <c r="J3" s="569"/>
      <c r="L3" s="115" t="s">
        <v>40</v>
      </c>
      <c r="M3" s="533" t="s">
        <v>41</v>
      </c>
      <c r="N3" s="534"/>
      <c r="O3" s="534"/>
      <c r="P3" s="534"/>
      <c r="Q3" s="534"/>
      <c r="R3" s="534"/>
      <c r="S3" s="534"/>
      <c r="T3" s="534"/>
      <c r="U3" s="534"/>
      <c r="V3" s="534"/>
      <c r="W3" s="535"/>
      <c r="X3" s="28"/>
      <c r="Y3" s="116"/>
      <c r="Z3" s="548" t="s">
        <v>42</v>
      </c>
      <c r="AA3" s="549"/>
      <c r="AB3" s="116"/>
      <c r="AC3" s="27" t="s">
        <v>40</v>
      </c>
      <c r="AD3" s="533" t="s">
        <v>20</v>
      </c>
      <c r="AE3" s="534"/>
      <c r="AF3" s="534"/>
      <c r="AG3" s="534"/>
      <c r="AH3" s="534"/>
      <c r="AI3" s="534"/>
      <c r="AJ3" s="534"/>
      <c r="AK3" s="534"/>
      <c r="AL3" s="534"/>
      <c r="AM3" s="534"/>
      <c r="AN3" s="535"/>
      <c r="AO3" s="117"/>
    </row>
    <row r="4" spans="1:42" ht="18.75" customHeight="1">
      <c r="A4" s="85" t="s">
        <v>43</v>
      </c>
      <c r="B4" s="5" t="s">
        <v>44</v>
      </c>
      <c r="C4" s="83">
        <f>I4/3</f>
        <v>62987.853333333333</v>
      </c>
      <c r="D4" s="128">
        <f>AD7+AE7+AF7</f>
        <v>727</v>
      </c>
      <c r="E4" s="83">
        <f>C4</f>
        <v>62987.853333333333</v>
      </c>
      <c r="F4" s="11"/>
      <c r="G4" s="83">
        <f>E4</f>
        <v>62987.853333333333</v>
      </c>
      <c r="H4" s="11"/>
      <c r="I4" s="79">
        <f>AA10+AA11</f>
        <v>188963.56</v>
      </c>
      <c r="J4" s="86">
        <f>D4+F4</f>
        <v>727</v>
      </c>
      <c r="L4" s="118" t="s">
        <v>45</v>
      </c>
      <c r="M4" s="31"/>
      <c r="N4" s="31"/>
      <c r="O4" s="31"/>
      <c r="P4" s="32"/>
      <c r="Q4" s="32"/>
      <c r="R4" s="32"/>
      <c r="S4" s="32"/>
      <c r="T4" s="32"/>
      <c r="U4" s="32"/>
      <c r="V4" s="32"/>
      <c r="W4" s="32"/>
      <c r="X4" s="527" t="s">
        <v>51</v>
      </c>
      <c r="Y4" s="116"/>
      <c r="Z4" s="33" t="s">
        <v>52</v>
      </c>
      <c r="AA4" s="34">
        <f>X6</f>
        <v>1</v>
      </c>
      <c r="AB4" s="116"/>
      <c r="AC4" s="30" t="s">
        <v>45</v>
      </c>
      <c r="AD4" s="238" t="s">
        <v>458</v>
      </c>
      <c r="AE4" s="238" t="s">
        <v>459</v>
      </c>
      <c r="AF4" s="238" t="s">
        <v>460</v>
      </c>
      <c r="AG4" s="190" t="s">
        <v>461</v>
      </c>
      <c r="AH4" s="190" t="s">
        <v>462</v>
      </c>
      <c r="AI4" s="190" t="s">
        <v>467</v>
      </c>
      <c r="AJ4" s="190" t="s">
        <v>438</v>
      </c>
      <c r="AK4" s="190" t="s">
        <v>439</v>
      </c>
      <c r="AL4" s="190" t="s">
        <v>468</v>
      </c>
      <c r="AM4" s="190"/>
      <c r="AN4" s="32"/>
      <c r="AO4" s="584" t="s">
        <v>51</v>
      </c>
    </row>
    <row r="5" spans="1:42">
      <c r="A5" s="85" t="s">
        <v>53</v>
      </c>
      <c r="B5" s="5" t="s">
        <v>54</v>
      </c>
      <c r="C5" s="192">
        <f>C6+C7+C8+C9+C10+C11+C13+C14+C16+C15+C12</f>
        <v>34488.32098633334</v>
      </c>
      <c r="D5" s="5"/>
      <c r="E5" s="192">
        <f>E6+E7+E8+E9+E10+E11+E13+E14+E16+E15+E12</f>
        <v>16458.496927853332</v>
      </c>
      <c r="F5" s="12"/>
      <c r="G5" s="192">
        <f>G6+G7+G8+G9+G10+G11+G13+G14+G16+G15+G12</f>
        <v>51524.675669613331</v>
      </c>
      <c r="H5" s="12"/>
      <c r="I5" s="8">
        <f>I6+I7+I8+I9+I10+I11+I13+I14+I16+I15+I12+I17</f>
        <v>115071.49358380001</v>
      </c>
      <c r="J5" s="87"/>
      <c r="L5" s="119"/>
      <c r="M5" s="80">
        <v>1</v>
      </c>
      <c r="N5" s="80">
        <v>2</v>
      </c>
      <c r="O5" s="80">
        <v>3</v>
      </c>
      <c r="P5" s="80">
        <v>4</v>
      </c>
      <c r="Q5" s="80">
        <v>5</v>
      </c>
      <c r="R5" s="80">
        <v>6</v>
      </c>
      <c r="S5" s="80"/>
      <c r="T5" s="80"/>
      <c r="U5" s="80"/>
      <c r="V5" s="80"/>
      <c r="W5" s="36"/>
      <c r="X5" s="528"/>
      <c r="Z5" s="37" t="s">
        <v>55</v>
      </c>
      <c r="AA5" s="38">
        <f>X7+X8</f>
        <v>1.0743457592967307</v>
      </c>
      <c r="AC5" s="35"/>
      <c r="AD5" s="80">
        <v>1</v>
      </c>
      <c r="AE5" s="80">
        <v>2</v>
      </c>
      <c r="AF5" s="80">
        <v>3</v>
      </c>
      <c r="AG5" s="80">
        <v>4</v>
      </c>
      <c r="AH5" s="80">
        <v>5</v>
      </c>
      <c r="AI5" s="80">
        <v>6</v>
      </c>
      <c r="AJ5" s="36">
        <v>7</v>
      </c>
      <c r="AK5" s="36">
        <v>8</v>
      </c>
      <c r="AL5" s="36">
        <v>9</v>
      </c>
      <c r="AM5" s="36">
        <v>10</v>
      </c>
      <c r="AN5" s="36">
        <v>11</v>
      </c>
      <c r="AO5" s="585"/>
    </row>
    <row r="6" spans="1:42">
      <c r="A6" s="88" t="s">
        <v>56</v>
      </c>
      <c r="B6" s="81" t="s">
        <v>57</v>
      </c>
      <c r="C6" s="134">
        <f>5640.1+2548.89+215.84+137.89+117.35+171.15+109.4+788.5+218.75+167.45+196.83+93.35+73.98+221.45+160.15+418.45+157.75+31.35+1640.34</f>
        <v>13108.970000000001</v>
      </c>
      <c r="D6" s="140">
        <f>C6+C7+C8</f>
        <v>13267.37</v>
      </c>
      <c r="E6" s="22">
        <f>2010.2+400+50.83+299.44+515.75+212.66+362.98+104.61</f>
        <v>3956.47</v>
      </c>
      <c r="F6" s="13">
        <f>E6+E7+E8</f>
        <v>5783.9699999999993</v>
      </c>
      <c r="G6" s="22">
        <f>40.5+454.75+116.4+88.44+4980+108.7+21.45+115.65+33.22+36.7+81.76+172.24+59.98+75.6+100</f>
        <v>6485.3899999999994</v>
      </c>
      <c r="H6" s="13">
        <f>G6+G7+G8</f>
        <v>31948.36</v>
      </c>
      <c r="I6" s="9">
        <f>C6+E6+G6</f>
        <v>23550.83</v>
      </c>
      <c r="J6" s="90">
        <f>I6+I7+I8</f>
        <v>50999.700000000004</v>
      </c>
      <c r="L6" s="120"/>
      <c r="M6" s="39"/>
      <c r="N6" s="40"/>
      <c r="O6" s="40"/>
      <c r="P6" s="40"/>
      <c r="Q6" s="40"/>
      <c r="R6" s="40"/>
      <c r="S6" s="40"/>
      <c r="T6" s="40"/>
      <c r="U6" s="40"/>
      <c r="V6" s="40"/>
      <c r="W6" s="41"/>
      <c r="X6" s="40">
        <v>1</v>
      </c>
      <c r="Z6" s="531" t="s">
        <v>58</v>
      </c>
      <c r="AA6" s="532"/>
      <c r="AC6" s="42"/>
      <c r="AD6" s="43">
        <f>AO6/9</f>
        <v>134</v>
      </c>
      <c r="AE6" s="43">
        <f>AD6</f>
        <v>134</v>
      </c>
      <c r="AF6" s="43">
        <f>AD6</f>
        <v>134</v>
      </c>
      <c r="AG6" s="43">
        <f>AD6</f>
        <v>134</v>
      </c>
      <c r="AH6" s="43">
        <f>AD6</f>
        <v>134</v>
      </c>
      <c r="AI6" s="43">
        <f>AD6</f>
        <v>134</v>
      </c>
      <c r="AJ6" s="44">
        <f>AD6</f>
        <v>134</v>
      </c>
      <c r="AK6" s="44">
        <f>AD6</f>
        <v>134</v>
      </c>
      <c r="AL6" s="44">
        <f>AD6</f>
        <v>134</v>
      </c>
      <c r="AM6" s="44"/>
      <c r="AN6" s="44"/>
      <c r="AO6" s="242">
        <v>1206</v>
      </c>
    </row>
    <row r="7" spans="1:42">
      <c r="A7" s="91" t="s">
        <v>59</v>
      </c>
      <c r="B7" s="92" t="s">
        <v>60</v>
      </c>
      <c r="C7" s="19">
        <v>158.4</v>
      </c>
      <c r="D7" s="89"/>
      <c r="E7" s="134">
        <f>1340+1950/4</f>
        <v>1827.5</v>
      </c>
      <c r="F7" s="13"/>
      <c r="G7" s="19">
        <f>560+725+585+450</f>
        <v>2320</v>
      </c>
      <c r="H7" s="13"/>
      <c r="I7" s="9">
        <f t="shared" ref="I7:I16" si="0">C7+E7+G7</f>
        <v>4305.8999999999996</v>
      </c>
      <c r="J7" s="90"/>
      <c r="L7" s="122"/>
      <c r="M7" s="45"/>
      <c r="N7" s="46"/>
      <c r="O7" s="46"/>
      <c r="P7" s="46"/>
      <c r="Q7" s="46"/>
      <c r="R7" s="46"/>
      <c r="S7" s="46"/>
      <c r="T7" s="46"/>
      <c r="U7" s="46"/>
      <c r="V7" s="46"/>
      <c r="W7" s="47"/>
      <c r="X7" s="48">
        <v>1</v>
      </c>
      <c r="Z7" s="49" t="s">
        <v>52</v>
      </c>
      <c r="AA7" s="50">
        <f>AO6/AA13</f>
        <v>8.8029197080291972</v>
      </c>
      <c r="AC7" s="51"/>
      <c r="AD7" s="52">
        <v>195</v>
      </c>
      <c r="AE7" s="53">
        <v>317.5</v>
      </c>
      <c r="AF7" s="53">
        <v>214.5</v>
      </c>
      <c r="AG7" s="53">
        <v>88</v>
      </c>
      <c r="AH7" s="53"/>
      <c r="AI7" s="53"/>
      <c r="AJ7" s="54">
        <v>36</v>
      </c>
      <c r="AK7" s="54">
        <f>52+84</f>
        <v>136</v>
      </c>
      <c r="AL7" s="54">
        <f>312+161+39-54</f>
        <v>458</v>
      </c>
      <c r="AM7" s="54"/>
      <c r="AN7" s="54"/>
      <c r="AO7" s="243">
        <f t="shared" ref="AO7" si="1">AD7+AE7+AF7+AG7+AH7+AI7+AN7+AJ7+AK7+AL7+AM7</f>
        <v>1445</v>
      </c>
      <c r="AP7" s="1">
        <f>J9+I14+I15+500</f>
        <v>50501.563583800002</v>
      </c>
    </row>
    <row r="8" spans="1:42">
      <c r="A8" s="93" t="s">
        <v>61</v>
      </c>
      <c r="B8" s="82" t="s">
        <v>62</v>
      </c>
      <c r="C8" s="20"/>
      <c r="D8" s="94"/>
      <c r="E8" s="20"/>
      <c r="F8" s="14"/>
      <c r="G8" s="20">
        <f>17645.47+4250+1247.5</f>
        <v>23142.97</v>
      </c>
      <c r="H8" s="14"/>
      <c r="I8" s="217">
        <f t="shared" si="0"/>
        <v>23142.97</v>
      </c>
      <c r="J8" s="95"/>
      <c r="L8" s="124"/>
      <c r="M8" s="55"/>
      <c r="N8" s="55"/>
      <c r="O8" s="55"/>
      <c r="P8" s="56"/>
      <c r="Q8" s="57"/>
      <c r="R8" s="56"/>
      <c r="S8" s="58"/>
      <c r="T8" s="58"/>
      <c r="U8" s="58"/>
      <c r="V8" s="58"/>
      <c r="W8" s="58"/>
      <c r="X8" s="56">
        <f>AA11/AA10</f>
        <v>7.4345759296730679E-2</v>
      </c>
      <c r="Z8" s="59" t="s">
        <v>55</v>
      </c>
      <c r="AA8" s="60">
        <f>AO7/AA13</f>
        <v>10.547445255474452</v>
      </c>
      <c r="AO8" s="105"/>
      <c r="AP8">
        <f>AP7/AO7</f>
        <v>34.949178950726647</v>
      </c>
    </row>
    <row r="9" spans="1:42">
      <c r="A9" s="88" t="s">
        <v>63</v>
      </c>
      <c r="B9" s="81" t="s">
        <v>64</v>
      </c>
      <c r="C9" s="169">
        <f>5272.75-144.5-288+390</f>
        <v>5230.25</v>
      </c>
      <c r="D9" s="137">
        <f>C9+C10+C11+C13+C12</f>
        <v>16490.340986333333</v>
      </c>
      <c r="E9" s="148">
        <f>((39*15.5+40*14.5+9*14)-E13)*1.42</f>
        <v>866.91</v>
      </c>
      <c r="F9" s="137">
        <f>E9+E10+E11+E13+E12</f>
        <v>6266.2769278533333</v>
      </c>
      <c r="G9" s="148">
        <f>((111*15.5+216*14.5+156*13+111*14)-G13)*1.42</f>
        <v>6296.99</v>
      </c>
      <c r="H9" s="141">
        <f>G9+G10+G11+G13+G12</f>
        <v>16814.195669613335</v>
      </c>
      <c r="I9" s="9">
        <f t="shared" si="0"/>
        <v>12394.15</v>
      </c>
      <c r="J9" s="96">
        <f>I9+I10+I11+I13+I12</f>
        <v>39570.813583800002</v>
      </c>
      <c r="L9" s="84"/>
      <c r="AO9" s="105"/>
    </row>
    <row r="10" spans="1:42">
      <c r="A10" s="91" t="s">
        <v>65</v>
      </c>
      <c r="B10" s="92" t="s">
        <v>66</v>
      </c>
      <c r="C10" s="134">
        <f>C9*0.2359</f>
        <v>1233.815975</v>
      </c>
      <c r="D10" s="89"/>
      <c r="E10" s="134">
        <f>E9*0.2359</f>
        <v>204.50406899999999</v>
      </c>
      <c r="F10" s="89"/>
      <c r="G10" s="134">
        <f>G9*0.2359</f>
        <v>1485.4599409999998</v>
      </c>
      <c r="H10" s="13"/>
      <c r="I10" s="9">
        <f t="shared" si="0"/>
        <v>2923.7799850000001</v>
      </c>
      <c r="J10" s="95"/>
      <c r="L10" s="84"/>
      <c r="Z10" s="10" t="s">
        <v>67</v>
      </c>
      <c r="AA10" s="61">
        <f>175887.1</f>
        <v>175887.1</v>
      </c>
      <c r="AO10" s="105"/>
    </row>
    <row r="11" spans="1:42">
      <c r="A11" s="91" t="s">
        <v>68</v>
      </c>
      <c r="B11" s="92" t="s">
        <v>69</v>
      </c>
      <c r="C11" s="134">
        <f>(C9+C10)*0.08</f>
        <v>517.12527799999998</v>
      </c>
      <c r="D11" s="89"/>
      <c r="E11" s="134">
        <f>(E9+E10)*0.08</f>
        <v>85.713125519999991</v>
      </c>
      <c r="F11" s="89"/>
      <c r="G11" s="134">
        <f>(G9+G10)*0.08</f>
        <v>622.59599528000001</v>
      </c>
      <c r="H11" s="13"/>
      <c r="I11" s="9">
        <f t="shared" si="0"/>
        <v>1225.4343988000001</v>
      </c>
      <c r="J11" s="95"/>
      <c r="L11" s="84"/>
      <c r="Z11" s="62" t="s">
        <v>70</v>
      </c>
      <c r="AA11" s="201">
        <f>13076.46</f>
        <v>13076.46</v>
      </c>
      <c r="AO11" s="105"/>
    </row>
    <row r="12" spans="1:42">
      <c r="A12" s="97" t="s">
        <v>71</v>
      </c>
      <c r="B12" s="98" t="s">
        <v>72</v>
      </c>
      <c r="C12" s="135">
        <f>(C4)*0.07</f>
        <v>4409.1497333333336</v>
      </c>
      <c r="D12" s="131"/>
      <c r="E12" s="135">
        <f>(E4)*0.07</f>
        <v>4409.1497333333336</v>
      </c>
      <c r="F12" s="131"/>
      <c r="G12" s="135">
        <f>(G4)*0.07</f>
        <v>4409.1497333333336</v>
      </c>
      <c r="H12" s="142"/>
      <c r="I12" s="9">
        <f t="shared" si="0"/>
        <v>13227.449200000001</v>
      </c>
      <c r="J12" s="95"/>
      <c r="L12" s="84"/>
      <c r="AO12" s="105"/>
    </row>
    <row r="13" spans="1:42">
      <c r="A13" s="91" t="s">
        <v>73</v>
      </c>
      <c r="B13" s="92" t="s">
        <v>74</v>
      </c>
      <c r="C13" s="139">
        <v>5100</v>
      </c>
      <c r="D13" s="133"/>
      <c r="E13" s="150">
        <f>14*50</f>
        <v>700</v>
      </c>
      <c r="F13" s="133"/>
      <c r="G13" s="150">
        <f>80*50</f>
        <v>4000</v>
      </c>
      <c r="H13" s="143"/>
      <c r="I13" s="217">
        <f t="shared" si="0"/>
        <v>9800</v>
      </c>
      <c r="J13" s="99"/>
      <c r="L13" s="84"/>
      <c r="Z13" s="64" t="s">
        <v>75</v>
      </c>
      <c r="AA13" s="65">
        <f>117+20</f>
        <v>137</v>
      </c>
      <c r="AO13" s="105"/>
    </row>
    <row r="14" spans="1:42">
      <c r="A14" s="100" t="s">
        <v>76</v>
      </c>
      <c r="B14" s="81" t="s">
        <v>77</v>
      </c>
      <c r="C14" s="134">
        <v>2346</v>
      </c>
      <c r="D14" s="89">
        <f>C14+C16+C15</f>
        <v>4730.6100000000006</v>
      </c>
      <c r="E14" s="134">
        <v>2484</v>
      </c>
      <c r="F14" s="13">
        <f>E14+E16+E15</f>
        <v>4408.25</v>
      </c>
      <c r="G14" s="19">
        <f>1560+62+123.25</f>
        <v>1745.25</v>
      </c>
      <c r="H14" s="13">
        <f>G14+G16+G15</f>
        <v>2762.12</v>
      </c>
      <c r="I14" s="9">
        <f t="shared" si="0"/>
        <v>6575.25</v>
      </c>
      <c r="J14" s="95">
        <f>I14+I16+I15+I17</f>
        <v>24500.98</v>
      </c>
      <c r="L14" s="84"/>
      <c r="Z14" s="66" t="s">
        <v>78</v>
      </c>
      <c r="AA14" s="183" t="s">
        <v>79</v>
      </c>
      <c r="AO14" s="105"/>
    </row>
    <row r="15" spans="1:42">
      <c r="A15" s="101" t="s">
        <v>80</v>
      </c>
      <c r="B15" s="92" t="s">
        <v>81</v>
      </c>
      <c r="C15" s="19">
        <f>3010.75-2114.82+449.99+64.4+274.5+7.7</f>
        <v>1692.52</v>
      </c>
      <c r="D15" s="89"/>
      <c r="E15" s="22">
        <f>391+779.96+76.09</f>
        <v>1247.05</v>
      </c>
      <c r="F15" s="13">
        <f>88.34+276.42+355.09</f>
        <v>719.84999999999991</v>
      </c>
      <c r="G15" s="22">
        <f>237.99+47.97+629.97</f>
        <v>915.93000000000006</v>
      </c>
      <c r="H15" s="13"/>
      <c r="I15" s="9">
        <f t="shared" si="0"/>
        <v>3855.5</v>
      </c>
      <c r="J15" s="95"/>
      <c r="L15" s="84"/>
      <c r="Z15" s="67" t="s">
        <v>82</v>
      </c>
      <c r="AA15" s="68">
        <v>13</v>
      </c>
      <c r="AO15" s="105"/>
    </row>
    <row r="16" spans="1:42">
      <c r="A16" s="91" t="s">
        <v>83</v>
      </c>
      <c r="B16" s="92" t="s">
        <v>84</v>
      </c>
      <c r="C16" s="19">
        <f>410+125+8.99+72.1+76</f>
        <v>692.09</v>
      </c>
      <c r="D16" s="89"/>
      <c r="E16" s="134">
        <f>75+92.2+340+170</f>
        <v>677.2</v>
      </c>
      <c r="F16" s="13"/>
      <c r="G16" s="19">
        <f>30+27.98+26.96+16</f>
        <v>100.94</v>
      </c>
      <c r="H16" s="13"/>
      <c r="I16" s="9">
        <f t="shared" si="0"/>
        <v>1470.23</v>
      </c>
      <c r="J16" s="95"/>
      <c r="L16" s="84"/>
      <c r="Z16" s="67" t="s">
        <v>85</v>
      </c>
      <c r="AA16" s="68">
        <v>12</v>
      </c>
      <c r="AO16" s="105"/>
    </row>
    <row r="17" spans="1:41">
      <c r="A17" s="91" t="s">
        <v>469</v>
      </c>
      <c r="B17" s="92"/>
      <c r="C17" s="19"/>
      <c r="D17" s="89"/>
      <c r="E17" s="19"/>
      <c r="F17" s="13"/>
      <c r="G17" s="19">
        <v>12600</v>
      </c>
      <c r="H17" s="13"/>
      <c r="I17" s="9">
        <v>12600</v>
      </c>
      <c r="J17" s="95"/>
      <c r="L17" s="84"/>
      <c r="Z17" s="202"/>
      <c r="AA17" s="203"/>
      <c r="AO17" s="105"/>
    </row>
    <row r="18" spans="1:41">
      <c r="A18" s="85" t="s">
        <v>86</v>
      </c>
      <c r="B18" s="5" t="s">
        <v>87</v>
      </c>
      <c r="C18" s="185">
        <f>C4-C5</f>
        <v>28499.532346999993</v>
      </c>
      <c r="D18" s="129">
        <f>C18/C4</f>
        <v>0.45246076566825888</v>
      </c>
      <c r="E18" s="185">
        <f>E4-E5</f>
        <v>46529.356405480001</v>
      </c>
      <c r="F18" s="130">
        <f>E18/E4</f>
        <v>0.73870363797358607</v>
      </c>
      <c r="G18" s="185">
        <f>G4-G5</f>
        <v>11463.177663720002</v>
      </c>
      <c r="H18" s="130">
        <f>G18/G4</f>
        <v>0.18199028950957533</v>
      </c>
      <c r="I18" s="16">
        <f>I4-I5</f>
        <v>73892.066416199988</v>
      </c>
      <c r="J18" s="102">
        <f>I18/I4</f>
        <v>0.39103870828957704</v>
      </c>
      <c r="L18" s="84"/>
      <c r="AO18" s="105"/>
    </row>
    <row r="19" spans="1:41" ht="19.5" customHeight="1">
      <c r="A19" s="103"/>
      <c r="B19" s="104"/>
      <c r="C19" s="104"/>
      <c r="D19" s="104"/>
      <c r="E19" s="104"/>
      <c r="F19" s="104"/>
      <c r="G19" s="104"/>
      <c r="H19" s="104"/>
      <c r="J19" s="105"/>
      <c r="L19" s="115" t="s">
        <v>40</v>
      </c>
      <c r="M19" s="533" t="s">
        <v>88</v>
      </c>
      <c r="N19" s="534"/>
      <c r="O19" s="534"/>
      <c r="P19" s="534"/>
      <c r="Q19" s="534"/>
      <c r="R19" s="534"/>
      <c r="S19" s="534"/>
      <c r="T19" s="534"/>
      <c r="U19" s="534"/>
      <c r="V19" s="534"/>
      <c r="W19" s="535"/>
      <c r="X19" s="29"/>
      <c r="Z19" s="520" t="s">
        <v>89</v>
      </c>
      <c r="AA19" s="520"/>
      <c r="AC19" s="27" t="s">
        <v>40</v>
      </c>
      <c r="AD19" s="533" t="s">
        <v>90</v>
      </c>
      <c r="AE19" s="534"/>
      <c r="AF19" s="534"/>
      <c r="AG19" s="534"/>
      <c r="AH19" s="534"/>
      <c r="AI19" s="534"/>
      <c r="AJ19" s="534"/>
      <c r="AK19" s="534"/>
      <c r="AL19" s="534"/>
      <c r="AM19" s="534"/>
      <c r="AN19" s="535"/>
      <c r="AO19" s="117"/>
    </row>
    <row r="20" spans="1:41" ht="20.25" customHeight="1">
      <c r="A20" s="106" t="s">
        <v>91</v>
      </c>
      <c r="B20" s="4" t="s">
        <v>92</v>
      </c>
      <c r="C20" s="107"/>
      <c r="D20" s="107"/>
      <c r="E20" s="107"/>
      <c r="F20" s="107"/>
      <c r="G20" s="107"/>
      <c r="H20" s="107"/>
      <c r="J20" s="105"/>
      <c r="L20" s="118" t="s">
        <v>45</v>
      </c>
      <c r="M20" s="31"/>
      <c r="N20" s="31"/>
      <c r="O20" s="31"/>
      <c r="P20" s="32"/>
      <c r="Q20" s="32"/>
      <c r="R20" s="32"/>
      <c r="S20" s="31"/>
      <c r="T20" s="31"/>
      <c r="U20" s="31"/>
      <c r="V20" s="31"/>
      <c r="W20" s="31"/>
      <c r="X20" s="516" t="s">
        <v>51</v>
      </c>
      <c r="Z20" s="69" t="s">
        <v>52</v>
      </c>
      <c r="AA20" s="50">
        <v>32215</v>
      </c>
      <c r="AC20" s="30" t="s">
        <v>45</v>
      </c>
      <c r="AD20" s="238" t="s">
        <v>458</v>
      </c>
      <c r="AE20" s="238" t="s">
        <v>459</v>
      </c>
      <c r="AF20" s="238" t="s">
        <v>460</v>
      </c>
      <c r="AG20" s="190" t="s">
        <v>461</v>
      </c>
      <c r="AH20" s="190" t="s">
        <v>462</v>
      </c>
      <c r="AI20" s="190" t="s">
        <v>467</v>
      </c>
      <c r="AJ20" s="190" t="s">
        <v>438</v>
      </c>
      <c r="AK20" s="190" t="s">
        <v>439</v>
      </c>
      <c r="AL20" s="190" t="s">
        <v>468</v>
      </c>
      <c r="AM20" s="31"/>
      <c r="AN20" s="31"/>
      <c r="AO20" s="518" t="s">
        <v>51</v>
      </c>
    </row>
    <row r="21" spans="1:41">
      <c r="A21" s="108" t="s">
        <v>93</v>
      </c>
      <c r="B21" s="3">
        <f>J6/I5*100</f>
        <v>44.320012204290919</v>
      </c>
      <c r="C21" s="109"/>
      <c r="D21" s="109"/>
      <c r="E21" s="109"/>
      <c r="F21" s="109"/>
      <c r="G21" s="109"/>
      <c r="H21" s="109"/>
      <c r="J21" s="105"/>
      <c r="L21" s="118"/>
      <c r="M21" s="70">
        <v>1</v>
      </c>
      <c r="N21" s="70">
        <v>2</v>
      </c>
      <c r="O21" s="70">
        <v>3</v>
      </c>
      <c r="P21" s="70">
        <v>4</v>
      </c>
      <c r="Q21" s="70">
        <v>5</v>
      </c>
      <c r="R21" s="70">
        <v>6</v>
      </c>
      <c r="S21" s="70"/>
      <c r="T21" s="70"/>
      <c r="U21" s="70"/>
      <c r="V21" s="70"/>
      <c r="W21" s="70"/>
      <c r="X21" s="517"/>
      <c r="Z21" s="71" t="s">
        <v>55</v>
      </c>
      <c r="AA21" s="77">
        <f>I6+I7</f>
        <v>27856.730000000003</v>
      </c>
      <c r="AC21" s="30"/>
      <c r="AD21" s="70">
        <v>1</v>
      </c>
      <c r="AE21" s="70">
        <v>2</v>
      </c>
      <c r="AF21" s="70">
        <v>3</v>
      </c>
      <c r="AG21" s="70">
        <v>4</v>
      </c>
      <c r="AH21" s="70">
        <v>5</v>
      </c>
      <c r="AI21" s="70">
        <v>6</v>
      </c>
      <c r="AJ21" s="70">
        <v>7</v>
      </c>
      <c r="AK21" s="70">
        <v>8</v>
      </c>
      <c r="AL21" s="70">
        <v>9</v>
      </c>
      <c r="AM21" s="70">
        <v>10</v>
      </c>
      <c r="AN21" s="70">
        <v>11</v>
      </c>
      <c r="AO21" s="519"/>
    </row>
    <row r="22" spans="1:41">
      <c r="A22" s="110" t="s">
        <v>94</v>
      </c>
      <c r="B22" s="3">
        <f>J9/I5*100</f>
        <v>34.388024654414373</v>
      </c>
      <c r="C22" s="109"/>
      <c r="D22" s="109"/>
      <c r="E22" s="109"/>
      <c r="F22" s="109"/>
      <c r="G22" s="109"/>
      <c r="H22" s="109"/>
      <c r="J22" s="105"/>
      <c r="L22" s="125"/>
      <c r="M22" s="73">
        <f>X22/3</f>
        <v>0</v>
      </c>
      <c r="N22" s="73">
        <f>M22</f>
        <v>0</v>
      </c>
      <c r="O22" s="73">
        <f>M22</f>
        <v>0</v>
      </c>
      <c r="P22" s="73">
        <f>N22</f>
        <v>0</v>
      </c>
      <c r="Q22" s="73"/>
      <c r="R22" s="73"/>
      <c r="S22" s="73"/>
      <c r="T22" s="73"/>
      <c r="U22" s="73"/>
      <c r="V22" s="73"/>
      <c r="W22" s="73"/>
      <c r="X22" s="74"/>
      <c r="Z22" s="520" t="s">
        <v>90</v>
      </c>
      <c r="AA22" s="520"/>
      <c r="AC22" s="72"/>
      <c r="AD22" s="73">
        <f>AO22/9</f>
        <v>800</v>
      </c>
      <c r="AE22" s="73">
        <f>AD22</f>
        <v>800</v>
      </c>
      <c r="AF22" s="73">
        <f>AD22</f>
        <v>800</v>
      </c>
      <c r="AG22" s="73">
        <f>AD22</f>
        <v>800</v>
      </c>
      <c r="AH22" s="73">
        <f>AD22</f>
        <v>800</v>
      </c>
      <c r="AI22" s="73">
        <f>AD22</f>
        <v>800</v>
      </c>
      <c r="AJ22" s="73">
        <f>AD22</f>
        <v>800</v>
      </c>
      <c r="AK22" s="73">
        <f>AD22</f>
        <v>800</v>
      </c>
      <c r="AL22" s="73">
        <f>AD22</f>
        <v>800</v>
      </c>
      <c r="AM22" s="73"/>
      <c r="AN22" s="73"/>
      <c r="AO22" s="126">
        <f>AA23</f>
        <v>7200</v>
      </c>
    </row>
    <row r="23" spans="1:41">
      <c r="A23" s="111" t="s">
        <v>95</v>
      </c>
      <c r="B23" s="2">
        <f>J14/I5*100</f>
        <v>21.291963141294705</v>
      </c>
      <c r="C23" s="109"/>
      <c r="D23" s="109"/>
      <c r="E23" s="109"/>
      <c r="F23" s="109"/>
      <c r="G23" s="109"/>
      <c r="H23" s="109"/>
      <c r="J23" s="105"/>
      <c r="L23" s="125"/>
      <c r="M23" s="75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163">
        <f t="shared" ref="X23" si="2">M23+N23+O23+P23+Q23+R23+W23+S23+T23+U23+V23</f>
        <v>0</v>
      </c>
      <c r="Z23" s="69" t="s">
        <v>52</v>
      </c>
      <c r="AA23" s="50">
        <v>7200</v>
      </c>
      <c r="AC23" s="72"/>
      <c r="AD23" s="75">
        <f>2346+3010.75-2114.82</f>
        <v>3241.93</v>
      </c>
      <c r="AE23" s="76">
        <f>449.99+72.1</f>
        <v>522.09</v>
      </c>
      <c r="AF23" s="76">
        <v>274.5</v>
      </c>
      <c r="AG23" s="76"/>
      <c r="AH23" s="76"/>
      <c r="AI23" s="76">
        <f>88.34+276.42+26</f>
        <v>390.76</v>
      </c>
      <c r="AJ23" s="76">
        <f>2484+779.96</f>
        <v>3263.96</v>
      </c>
      <c r="AK23" s="76"/>
      <c r="AL23" s="76">
        <f>76.09+1560+62+123.25+237.99+47.97+629.97</f>
        <v>2737.2699999999995</v>
      </c>
      <c r="AM23" s="76"/>
      <c r="AN23" s="76"/>
      <c r="AO23" s="165">
        <f t="shared" ref="AO23" si="3">AD23+AE23+AF23+AG23+AH23+AI23+AN23+AJ23+AK23+AL23+AM23</f>
        <v>10430.509999999998</v>
      </c>
    </row>
    <row r="24" spans="1:41">
      <c r="A24" s="84"/>
      <c r="J24" s="105"/>
      <c r="L24" s="84"/>
      <c r="Z24" s="71" t="s">
        <v>55</v>
      </c>
      <c r="AA24" s="60">
        <f>AO23</f>
        <v>10430.509999999998</v>
      </c>
      <c r="AO24" s="105"/>
    </row>
    <row r="25" spans="1:41">
      <c r="A25" s="84"/>
      <c r="J25" s="105"/>
      <c r="L25" s="84"/>
      <c r="X25" s="128"/>
      <c r="AO25" s="105"/>
    </row>
    <row r="26" spans="1:41" ht="15" customHeight="1">
      <c r="A26" s="84"/>
      <c r="J26" s="105"/>
      <c r="L26" s="84"/>
      <c r="Z26" s="239" t="s">
        <v>96</v>
      </c>
      <c r="AA26" s="78"/>
      <c r="AO26" s="105"/>
    </row>
    <row r="27" spans="1:41" ht="27.75" customHeight="1">
      <c r="A27" s="84"/>
      <c r="J27" s="105"/>
      <c r="L27" s="84"/>
      <c r="Z27" s="10" t="s">
        <v>97</v>
      </c>
      <c r="AA27" s="78"/>
      <c r="AO27" s="105"/>
    </row>
    <row r="28" spans="1:41">
      <c r="A28" s="84"/>
      <c r="J28" s="105"/>
      <c r="L28" s="84"/>
      <c r="AO28" s="105"/>
    </row>
    <row r="29" spans="1:41">
      <c r="A29" s="84"/>
      <c r="J29" s="105"/>
      <c r="L29" s="84"/>
      <c r="AO29" s="105"/>
    </row>
    <row r="30" spans="1:41">
      <c r="A30" s="84"/>
      <c r="J30" s="105"/>
      <c r="L30" s="84"/>
      <c r="AO30" s="105"/>
    </row>
    <row r="31" spans="1:41">
      <c r="A31" s="84"/>
      <c r="J31" s="105"/>
      <c r="L31" s="84"/>
      <c r="Z31" s="521" t="s">
        <v>98</v>
      </c>
      <c r="AA31" s="522"/>
      <c r="AO31" s="105"/>
    </row>
    <row r="32" spans="1:41">
      <c r="A32" s="84"/>
      <c r="J32" s="105"/>
      <c r="L32" s="84"/>
      <c r="Z32" s="523">
        <v>45081</v>
      </c>
      <c r="AA32" s="524"/>
      <c r="AO32" s="105"/>
    </row>
    <row r="33" spans="1:41" ht="15.75" customHeight="1">
      <c r="A33" s="112"/>
      <c r="B33" s="113"/>
      <c r="C33" s="113"/>
      <c r="D33" s="113"/>
      <c r="E33" s="113"/>
      <c r="F33" s="113"/>
      <c r="G33" s="113"/>
      <c r="H33" s="113"/>
      <c r="I33" s="113"/>
      <c r="J33" s="114"/>
      <c r="L33" s="112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525"/>
      <c r="AA33" s="526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4"/>
    </row>
    <row r="38" spans="1:41">
      <c r="K38" s="1"/>
    </row>
  </sheetData>
  <mergeCells count="21">
    <mergeCell ref="X20:X21"/>
    <mergeCell ref="AO20:AO21"/>
    <mergeCell ref="Z22:AA22"/>
    <mergeCell ref="Z31:AA31"/>
    <mergeCell ref="Z32:AA33"/>
    <mergeCell ref="B1:AO1"/>
    <mergeCell ref="X4:X5"/>
    <mergeCell ref="AO4:AO5"/>
    <mergeCell ref="Z6:AA6"/>
    <mergeCell ref="M19:W19"/>
    <mergeCell ref="Z19:AA19"/>
    <mergeCell ref="AD19:AN19"/>
    <mergeCell ref="A2:J2"/>
    <mergeCell ref="L2:AO2"/>
    <mergeCell ref="C3:D3"/>
    <mergeCell ref="E3:F3"/>
    <mergeCell ref="I3:J3"/>
    <mergeCell ref="M3:W3"/>
    <mergeCell ref="Z3:AA3"/>
    <mergeCell ref="AD3:AN3"/>
    <mergeCell ref="G3:H3"/>
  </mergeCells>
  <pageMargins left="0.7" right="0.7" top="0.75" bottom="0.75" header="0.3" footer="0.3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BE95-2944-4B7F-B014-895612E51D5F}">
  <sheetPr>
    <pageSetUpPr fitToPage="1"/>
  </sheetPr>
  <dimension ref="A1:AP43"/>
  <sheetViews>
    <sheetView workbookViewId="0">
      <selection activeCell="I12" sqref="I12"/>
    </sheetView>
  </sheetViews>
  <sheetFormatPr defaultRowHeight="15" outlineLevelCol="1"/>
  <cols>
    <col min="1" max="1" width="36.42578125" bestFit="1" customWidth="1"/>
    <col min="2" max="2" width="30.140625" bestFit="1" customWidth="1"/>
    <col min="3" max="3" width="10.7109375" customWidth="1"/>
    <col min="4" max="4" width="11.140625" customWidth="1"/>
    <col min="5" max="5" width="10.7109375" customWidth="1"/>
    <col min="6" max="6" width="10.140625" customWidth="1"/>
    <col min="7" max="7" width="10.7109375" customWidth="1"/>
    <col min="8" max="8" width="10.140625" customWidth="1"/>
    <col min="9" max="10" width="10.7109375" customWidth="1"/>
    <col min="11" max="11" width="3.28515625" customWidth="1"/>
    <col min="12" max="12" width="20.7109375" hidden="1" customWidth="1" outlineLevel="1"/>
    <col min="13" max="13" width="10.7109375" hidden="1" customWidth="1" outlineLevel="1" collapsed="1"/>
    <col min="14" max="17" width="10.7109375" hidden="1" customWidth="1" outlineLevel="1"/>
    <col min="18" max="23" width="9.140625" hidden="1" customWidth="1" outlineLevel="1"/>
    <col min="24" max="24" width="9.140625" hidden="1" customWidth="1" outlineLevel="1" collapsed="1"/>
    <col min="25" max="25" width="3" customWidth="1" collapsed="1"/>
    <col min="26" max="26" width="23.7109375" customWidth="1"/>
    <col min="27" max="27" width="16" customWidth="1"/>
    <col min="28" max="28" width="2.85546875" customWidth="1"/>
    <col min="29" max="29" width="20.7109375" hidden="1" customWidth="1" outlineLevel="1"/>
    <col min="30" max="30" width="6.7109375" customWidth="1" collapsed="1"/>
    <col min="31" max="37" width="6.7109375" customWidth="1"/>
    <col min="38" max="38" width="6.5703125" bestFit="1" customWidth="1"/>
    <col min="39" max="40" width="12.7109375" hidden="1" customWidth="1" outlineLevel="1"/>
    <col min="41" max="41" width="8.7109375" customWidth="1" collapsed="1"/>
    <col min="42" max="42" width="12.7109375" customWidth="1"/>
  </cols>
  <sheetData>
    <row r="1" spans="1:42" ht="25.5">
      <c r="A1" s="237" t="s">
        <v>470</v>
      </c>
      <c r="B1" s="624" t="s">
        <v>471</v>
      </c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  <c r="T1" s="624"/>
      <c r="U1" s="624"/>
      <c r="V1" s="624"/>
      <c r="W1" s="624"/>
      <c r="X1" s="624"/>
      <c r="Y1" s="624"/>
      <c r="Z1" s="624"/>
      <c r="AA1" s="624"/>
      <c r="AB1" s="624"/>
      <c r="AC1" s="624"/>
      <c r="AD1" s="624"/>
      <c r="AE1" s="624"/>
      <c r="AF1" s="624"/>
      <c r="AG1" s="624"/>
      <c r="AH1" s="624"/>
      <c r="AI1" s="624"/>
      <c r="AJ1" s="624"/>
      <c r="AK1" s="624"/>
      <c r="AL1" s="624"/>
      <c r="AM1" s="624"/>
      <c r="AN1" s="624"/>
      <c r="AO1" s="624"/>
    </row>
    <row r="2" spans="1:42" ht="18.75">
      <c r="A2" s="555" t="s">
        <v>35</v>
      </c>
      <c r="B2" s="556"/>
      <c r="C2" s="556"/>
      <c r="D2" s="556"/>
      <c r="E2" s="556"/>
      <c r="F2" s="556"/>
      <c r="G2" s="556"/>
      <c r="H2" s="556"/>
      <c r="I2" s="556"/>
      <c r="J2" s="557"/>
      <c r="K2" s="7"/>
      <c r="L2" s="558" t="s">
        <v>36</v>
      </c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559"/>
      <c r="AC2" s="559"/>
      <c r="AD2" s="559"/>
      <c r="AE2" s="559"/>
      <c r="AF2" s="559"/>
      <c r="AG2" s="559"/>
      <c r="AH2" s="559"/>
      <c r="AI2" s="559"/>
      <c r="AJ2" s="559"/>
      <c r="AK2" s="559"/>
      <c r="AL2" s="559"/>
      <c r="AM2" s="559"/>
      <c r="AN2" s="559"/>
      <c r="AO2" s="560"/>
    </row>
    <row r="3" spans="1:42">
      <c r="A3" s="84"/>
      <c r="C3" s="561">
        <v>44896</v>
      </c>
      <c r="D3" s="562"/>
      <c r="E3" s="561">
        <v>44927</v>
      </c>
      <c r="F3" s="562"/>
      <c r="G3" s="561">
        <v>44980</v>
      </c>
      <c r="H3" s="562"/>
      <c r="I3" s="568" t="s">
        <v>39</v>
      </c>
      <c r="J3" s="569"/>
      <c r="L3" s="115" t="s">
        <v>40</v>
      </c>
      <c r="M3" s="533" t="s">
        <v>41</v>
      </c>
      <c r="N3" s="534"/>
      <c r="O3" s="534"/>
      <c r="P3" s="534"/>
      <c r="Q3" s="534"/>
      <c r="R3" s="534"/>
      <c r="S3" s="534"/>
      <c r="T3" s="534"/>
      <c r="U3" s="534"/>
      <c r="V3" s="534"/>
      <c r="W3" s="535"/>
      <c r="X3" s="28"/>
      <c r="Y3" s="116"/>
      <c r="Z3" s="548" t="s">
        <v>42</v>
      </c>
      <c r="AA3" s="549"/>
      <c r="AB3" s="116"/>
      <c r="AC3" s="27" t="s">
        <v>40</v>
      </c>
      <c r="AD3" s="533" t="s">
        <v>20</v>
      </c>
      <c r="AE3" s="534"/>
      <c r="AF3" s="534"/>
      <c r="AG3" s="534"/>
      <c r="AH3" s="534"/>
      <c r="AI3" s="534"/>
      <c r="AJ3" s="534"/>
      <c r="AK3" s="534"/>
      <c r="AL3" s="534"/>
      <c r="AM3" s="534"/>
      <c r="AN3" s="535"/>
      <c r="AO3" s="117"/>
    </row>
    <row r="4" spans="1:42" ht="21">
      <c r="A4" s="85" t="s">
        <v>43</v>
      </c>
      <c r="B4" s="251" t="s">
        <v>44</v>
      </c>
      <c r="C4" s="17">
        <f>AA10/2</f>
        <v>81000</v>
      </c>
      <c r="D4" s="128"/>
      <c r="E4" s="17">
        <f>C4</f>
        <v>81000</v>
      </c>
      <c r="F4" s="147"/>
      <c r="G4" s="17">
        <f>AA11</f>
        <v>6555</v>
      </c>
      <c r="H4" s="147"/>
      <c r="I4" s="79">
        <f>AA10+AA11</f>
        <v>168555</v>
      </c>
      <c r="J4" s="250"/>
      <c r="L4" s="118" t="s">
        <v>45</v>
      </c>
      <c r="M4" s="31"/>
      <c r="N4" s="31"/>
      <c r="O4" s="31"/>
      <c r="P4" s="32"/>
      <c r="Q4" s="32"/>
      <c r="R4" s="32"/>
      <c r="S4" s="32"/>
      <c r="T4" s="32"/>
      <c r="U4" s="32"/>
      <c r="V4" s="32"/>
      <c r="W4" s="32"/>
      <c r="X4" s="527" t="s">
        <v>51</v>
      </c>
      <c r="Y4" s="116"/>
      <c r="Z4" s="33" t="s">
        <v>52</v>
      </c>
      <c r="AA4" s="34">
        <f>X6</f>
        <v>1</v>
      </c>
      <c r="AB4" s="116"/>
      <c r="AC4" s="30" t="s">
        <v>45</v>
      </c>
      <c r="AD4" s="238" t="s">
        <v>472</v>
      </c>
      <c r="AE4" s="238" t="s">
        <v>473</v>
      </c>
      <c r="AF4" s="238" t="s">
        <v>474</v>
      </c>
      <c r="AG4" s="190" t="s">
        <v>475</v>
      </c>
      <c r="AH4" s="190" t="s">
        <v>476</v>
      </c>
      <c r="AI4" s="190" t="s">
        <v>477</v>
      </c>
      <c r="AJ4" s="190" t="s">
        <v>459</v>
      </c>
      <c r="AK4" s="190" t="s">
        <v>460</v>
      </c>
      <c r="AL4" s="32" t="s">
        <v>478</v>
      </c>
      <c r="AM4" s="32"/>
      <c r="AN4" s="32"/>
      <c r="AO4" s="584" t="s">
        <v>51</v>
      </c>
    </row>
    <row r="5" spans="1:42">
      <c r="A5" s="85" t="s">
        <v>53</v>
      </c>
      <c r="B5" s="241" t="s">
        <v>54</v>
      </c>
      <c r="C5" s="240">
        <f>C6+C7+C8+C9+C10+C11+C13+C14+C16+C15+C12</f>
        <v>54671.383160433601</v>
      </c>
      <c r="D5" s="5"/>
      <c r="E5" s="192">
        <f>E6+E7+E8+E9+E10+E11+E13+E14+E16+E15+E12</f>
        <v>38491.993631152116</v>
      </c>
      <c r="F5" s="12"/>
      <c r="G5" s="192">
        <f>G6+G7+G8+G9+G10+G11+G13+G14+G16+G15+G12</f>
        <v>19317.227049320001</v>
      </c>
      <c r="H5" s="12"/>
      <c r="I5" s="8">
        <f>I6+I7+I8+I9+I10+I11+I13+I14+I16+I15+I12+I17</f>
        <v>112480.60384090575</v>
      </c>
      <c r="J5" s="87"/>
      <c r="L5" s="119"/>
      <c r="M5" s="80">
        <v>1</v>
      </c>
      <c r="N5" s="80">
        <v>2</v>
      </c>
      <c r="O5" s="80">
        <v>3</v>
      </c>
      <c r="P5" s="80">
        <v>4</v>
      </c>
      <c r="Q5" s="80">
        <v>5</v>
      </c>
      <c r="R5" s="80">
        <v>6</v>
      </c>
      <c r="S5" s="80"/>
      <c r="T5" s="80"/>
      <c r="U5" s="80"/>
      <c r="V5" s="80"/>
      <c r="W5" s="36"/>
      <c r="X5" s="528"/>
      <c r="Z5" s="37" t="s">
        <v>55</v>
      </c>
      <c r="AA5" s="38">
        <f>X7+X8</f>
        <v>1.0404629629629629</v>
      </c>
      <c r="AC5" s="35"/>
      <c r="AD5" s="80">
        <v>1</v>
      </c>
      <c r="AE5" s="80">
        <v>2</v>
      </c>
      <c r="AF5" s="80">
        <v>3</v>
      </c>
      <c r="AG5" s="80">
        <v>4</v>
      </c>
      <c r="AH5" s="80">
        <v>5</v>
      </c>
      <c r="AI5" s="80">
        <v>6</v>
      </c>
      <c r="AJ5" s="36">
        <v>7</v>
      </c>
      <c r="AK5" s="36">
        <v>8</v>
      </c>
      <c r="AL5" s="36">
        <v>9</v>
      </c>
      <c r="AM5" s="36">
        <v>10</v>
      </c>
      <c r="AN5" s="36">
        <v>11</v>
      </c>
      <c r="AO5" s="585"/>
    </row>
    <row r="6" spans="1:42">
      <c r="A6" s="88" t="s">
        <v>56</v>
      </c>
      <c r="B6" s="92" t="s">
        <v>57</v>
      </c>
      <c r="C6" s="134">
        <f>6419.62+832.34+3.39+2998.53+1091.31</f>
        <v>11345.19</v>
      </c>
      <c r="D6" s="140">
        <f>C6+C7+C8</f>
        <v>15015.69</v>
      </c>
      <c r="E6" s="135">
        <f>983.19+215.36+18.29+27.24+182.94+25.15+135+82+881.53+782.04+294.75+17.5+62.2+1799.42+64.48+5.95+32.8+80.05+409/3*2+114.08+87.55+325.8</f>
        <v>6489.9866666666676</v>
      </c>
      <c r="F6" s="156">
        <f>E6+E7+E8</f>
        <v>6839.9866666666676</v>
      </c>
      <c r="G6" s="135">
        <f>41.27+45.2*2+107.25+79.96+92.63+32.8+371+23.64+100</f>
        <v>938.94999999999993</v>
      </c>
      <c r="H6" s="156">
        <f>G6+G7+G8</f>
        <v>10964.170000000002</v>
      </c>
      <c r="I6" s="9">
        <f>C6+E6+G6</f>
        <v>18774.126666666667</v>
      </c>
      <c r="J6" s="90">
        <f>I6+I7+I8</f>
        <v>32819.846666666672</v>
      </c>
      <c r="L6" s="120"/>
      <c r="M6" s="39"/>
      <c r="N6" s="40"/>
      <c r="O6" s="40"/>
      <c r="P6" s="40"/>
      <c r="Q6" s="40"/>
      <c r="R6" s="40"/>
      <c r="S6" s="40"/>
      <c r="T6" s="40"/>
      <c r="U6" s="40"/>
      <c r="V6" s="40"/>
      <c r="W6" s="41"/>
      <c r="X6" s="40">
        <v>1</v>
      </c>
      <c r="Z6" s="531" t="s">
        <v>58</v>
      </c>
      <c r="AA6" s="532"/>
      <c r="AC6" s="42"/>
      <c r="AD6" s="43">
        <f>AO6/7</f>
        <v>242.57142857142858</v>
      </c>
      <c r="AE6" s="43">
        <f>AD6</f>
        <v>242.57142857142858</v>
      </c>
      <c r="AF6" s="43">
        <f>AD6</f>
        <v>242.57142857142858</v>
      </c>
      <c r="AG6" s="43"/>
      <c r="AH6" s="43">
        <f>AD6</f>
        <v>242.57142857142858</v>
      </c>
      <c r="AI6" s="43">
        <f>AD6</f>
        <v>242.57142857142858</v>
      </c>
      <c r="AJ6" s="44">
        <f>AD6</f>
        <v>242.57142857142858</v>
      </c>
      <c r="AK6" s="44">
        <f>AD6</f>
        <v>242.57142857142858</v>
      </c>
      <c r="AL6" s="44"/>
      <c r="AM6" s="44"/>
      <c r="AN6" s="44"/>
      <c r="AO6" s="242">
        <f>957+741</f>
        <v>1698</v>
      </c>
    </row>
    <row r="7" spans="1:42">
      <c r="A7" s="91" t="s">
        <v>59</v>
      </c>
      <c r="B7" s="92" t="s">
        <v>60</v>
      </c>
      <c r="C7" s="19">
        <v>2418.4</v>
      </c>
      <c r="D7" s="89"/>
      <c r="E7" s="19"/>
      <c r="F7" s="13"/>
      <c r="G7" s="19"/>
      <c r="H7" s="13"/>
      <c r="I7" s="9">
        <f t="shared" ref="I7:I16" si="0">C7+E7+G7</f>
        <v>2418.4</v>
      </c>
      <c r="J7" s="90"/>
      <c r="L7" s="122"/>
      <c r="M7" s="45"/>
      <c r="N7" s="46"/>
      <c r="O7" s="46"/>
      <c r="P7" s="46"/>
      <c r="Q7" s="46"/>
      <c r="R7" s="46"/>
      <c r="S7" s="46"/>
      <c r="T7" s="46"/>
      <c r="U7" s="46"/>
      <c r="V7" s="46"/>
      <c r="W7" s="47"/>
      <c r="X7" s="48">
        <v>1</v>
      </c>
      <c r="Z7" s="49" t="s">
        <v>52</v>
      </c>
      <c r="AA7" s="50">
        <f>AO6/AA13</f>
        <v>10.699432892249526</v>
      </c>
      <c r="AC7" s="51"/>
      <c r="AD7" s="52">
        <v>388.5</v>
      </c>
      <c r="AE7" s="53">
        <v>394.5</v>
      </c>
      <c r="AF7" s="53">
        <v>73</v>
      </c>
      <c r="AG7" s="53">
        <f>33*2</f>
        <v>66</v>
      </c>
      <c r="AH7" s="53">
        <v>92.5</v>
      </c>
      <c r="AI7" s="53">
        <v>255.5</v>
      </c>
      <c r="AJ7" s="54">
        <v>242</v>
      </c>
      <c r="AK7" s="54">
        <v>296</v>
      </c>
      <c r="AL7" s="54">
        <f>38.5+313+72.5</f>
        <v>424</v>
      </c>
      <c r="AM7" s="54"/>
      <c r="AN7" s="54"/>
      <c r="AO7" s="329">
        <f>AD7+AE7+AF7+AG7+AH7+AI7+AJ7+AK7+AL7</f>
        <v>2232</v>
      </c>
      <c r="AP7" s="1">
        <f>J9+I14+I15+500</f>
        <v>76882.787174239071</v>
      </c>
    </row>
    <row r="8" spans="1:42">
      <c r="A8" s="93" t="s">
        <v>61</v>
      </c>
      <c r="B8" s="82" t="s">
        <v>62</v>
      </c>
      <c r="C8" s="20">
        <v>1252.0999999999999</v>
      </c>
      <c r="D8" s="94"/>
      <c r="E8" s="20">
        <v>350</v>
      </c>
      <c r="F8" s="14"/>
      <c r="G8" s="20">
        <f>280+160+240+4807.54+70+280+2940+1247.68</f>
        <v>10025.220000000001</v>
      </c>
      <c r="H8" s="14"/>
      <c r="I8" s="217">
        <f t="shared" si="0"/>
        <v>11627.320000000002</v>
      </c>
      <c r="J8" s="95"/>
      <c r="L8" s="124"/>
      <c r="M8" s="55"/>
      <c r="N8" s="55"/>
      <c r="O8" s="55"/>
      <c r="P8" s="56"/>
      <c r="Q8" s="57"/>
      <c r="R8" s="56"/>
      <c r="S8" s="58"/>
      <c r="T8" s="58"/>
      <c r="U8" s="58"/>
      <c r="V8" s="58"/>
      <c r="W8" s="58"/>
      <c r="X8" s="56">
        <f>AA11/AA10</f>
        <v>4.0462962962962964E-2</v>
      </c>
      <c r="Z8" s="59" t="s">
        <v>55</v>
      </c>
      <c r="AA8" s="60">
        <f>AO7/AA13</f>
        <v>14.064272211720226</v>
      </c>
      <c r="AO8" s="105"/>
      <c r="AP8">
        <f>AP7/AO7</f>
        <v>34.445693178422523</v>
      </c>
    </row>
    <row r="9" spans="1:42">
      <c r="A9" s="88" t="s">
        <v>63</v>
      </c>
      <c r="B9" s="81" t="s">
        <v>64</v>
      </c>
      <c r="C9" s="169">
        <f>6599.14*1.42</f>
        <v>9370.7788</v>
      </c>
      <c r="D9" s="137">
        <f>C9+C10+C11+C13+C12</f>
        <v>25827.853160433599</v>
      </c>
      <c r="E9" s="169">
        <f>2993.75*1.42+((52*16+122*15+122*12)-6*50)*1.42+((23*14+41*13)-18*50)*1.42+(2500/22*4-300)*1.42</f>
        <v>9839.5995454545464</v>
      </c>
      <c r="F9" s="137">
        <f>E9+E10+E11+E13+E12</f>
        <v>26853.621964485457</v>
      </c>
      <c r="G9" s="148">
        <f>((90*14+14.5*79+72*12+72*13)-G13)*1.42</f>
        <v>2847.81</v>
      </c>
      <c r="H9" s="141">
        <f>G9+G10+G11+G13+G12</f>
        <v>6460.0270493200005</v>
      </c>
      <c r="I9" s="9">
        <f t="shared" si="0"/>
        <v>22058.18834545455</v>
      </c>
      <c r="J9" s="96">
        <f>I9+I10+I11+I13+I12</f>
        <v>59141.502174239067</v>
      </c>
      <c r="L9" s="84"/>
      <c r="AO9" s="105"/>
    </row>
    <row r="10" spans="1:42">
      <c r="A10" s="91" t="s">
        <v>65</v>
      </c>
      <c r="B10" s="92" t="s">
        <v>66</v>
      </c>
      <c r="C10" s="134">
        <f>C9*0.2359</f>
        <v>2210.5667189199999</v>
      </c>
      <c r="D10" s="89"/>
      <c r="E10" s="134">
        <f>E9*0.2359</f>
        <v>2321.1615327727277</v>
      </c>
      <c r="F10" s="89"/>
      <c r="G10" s="134">
        <f>G9*0.2359</f>
        <v>671.79837899999995</v>
      </c>
      <c r="H10" s="13"/>
      <c r="I10" s="9">
        <f t="shared" si="0"/>
        <v>5203.5266306927278</v>
      </c>
      <c r="J10" s="95"/>
      <c r="L10" s="84"/>
      <c r="Z10" s="10" t="s">
        <v>67</v>
      </c>
      <c r="AA10" s="61">
        <v>162000</v>
      </c>
      <c r="AO10" s="105"/>
    </row>
    <row r="11" spans="1:42">
      <c r="A11" s="91" t="s">
        <v>68</v>
      </c>
      <c r="B11" s="92" t="s">
        <v>69</v>
      </c>
      <c r="C11" s="134">
        <f>(C9+C10)*0.08</f>
        <v>926.50764151359999</v>
      </c>
      <c r="D11" s="89"/>
      <c r="E11" s="134">
        <f>(E9+E10)*0.08</f>
        <v>972.86088625818206</v>
      </c>
      <c r="F11" s="89"/>
      <c r="G11" s="134">
        <f>(G9+G10)*0.08</f>
        <v>281.56867031999997</v>
      </c>
      <c r="H11" s="13"/>
      <c r="I11" s="9">
        <f t="shared" si="0"/>
        <v>2180.9371980917822</v>
      </c>
      <c r="J11" s="95"/>
      <c r="L11" s="84"/>
      <c r="Z11" s="62" t="s">
        <v>70</v>
      </c>
      <c r="AA11" s="63">
        <f>2800+3150+605</f>
        <v>6555</v>
      </c>
      <c r="AO11" s="105"/>
    </row>
    <row r="12" spans="1:42">
      <c r="A12" s="97" t="s">
        <v>71</v>
      </c>
      <c r="B12" s="98" t="s">
        <v>72</v>
      </c>
      <c r="C12" s="135">
        <f>(C4)*0.07</f>
        <v>5670.0000000000009</v>
      </c>
      <c r="D12" s="131"/>
      <c r="E12" s="135">
        <f>(E4)*0.07</f>
        <v>5670.0000000000009</v>
      </c>
      <c r="F12" s="131"/>
      <c r="G12" s="135">
        <f>(G4)*0.07</f>
        <v>458.85</v>
      </c>
      <c r="H12" s="142"/>
      <c r="I12" s="9">
        <f t="shared" si="0"/>
        <v>11798.850000000002</v>
      </c>
      <c r="J12" s="95"/>
      <c r="L12" s="84"/>
      <c r="AO12" s="105"/>
    </row>
    <row r="13" spans="1:42">
      <c r="A13" s="91" t="s">
        <v>73</v>
      </c>
      <c r="B13" s="92" t="s">
        <v>74</v>
      </c>
      <c r="C13" s="139">
        <v>7650</v>
      </c>
      <c r="D13" s="133"/>
      <c r="E13" s="150">
        <f>7650+8*50</f>
        <v>8050</v>
      </c>
      <c r="F13" s="133"/>
      <c r="G13" s="150">
        <f>40*50+4*50</f>
        <v>2200</v>
      </c>
      <c r="H13" s="143"/>
      <c r="I13" s="217">
        <f t="shared" si="0"/>
        <v>17900</v>
      </c>
      <c r="J13" s="99"/>
      <c r="L13" s="84"/>
      <c r="Z13" s="64" t="s">
        <v>75</v>
      </c>
      <c r="AA13" s="65">
        <f>60+21+67.18+10.52</f>
        <v>158.70000000000002</v>
      </c>
      <c r="AO13" s="105"/>
    </row>
    <row r="14" spans="1:42">
      <c r="A14" s="100" t="s">
        <v>76</v>
      </c>
      <c r="B14" s="81" t="s">
        <v>77</v>
      </c>
      <c r="C14" s="22">
        <f>3989.8+1308.41+757+42</f>
        <v>6097.21</v>
      </c>
      <c r="D14" s="89">
        <f>C14+C16+C15</f>
        <v>13827.84</v>
      </c>
      <c r="E14" s="19">
        <f>411.21+53.55+832+204.83+89+204.83+651</f>
        <v>2446.42</v>
      </c>
      <c r="F14" s="156">
        <f>E14+E16+E15</f>
        <v>4798.3850000000002</v>
      </c>
      <c r="G14" s="19">
        <f>312+137.7+106</f>
        <v>555.70000000000005</v>
      </c>
      <c r="H14" s="13">
        <f>G14+G16+G15</f>
        <v>1893.0300000000002</v>
      </c>
      <c r="I14" s="9">
        <f t="shared" si="0"/>
        <v>9099.3300000000017</v>
      </c>
      <c r="J14" s="95">
        <f>I14+I16+I15+I17</f>
        <v>20519.255000000001</v>
      </c>
      <c r="L14" s="84"/>
      <c r="Z14" s="66" t="s">
        <v>78</v>
      </c>
      <c r="AA14" s="183" t="s">
        <v>79</v>
      </c>
      <c r="AO14" s="105"/>
    </row>
    <row r="15" spans="1:42">
      <c r="A15" s="101" t="s">
        <v>80</v>
      </c>
      <c r="B15" s="92" t="s">
        <v>81</v>
      </c>
      <c r="C15" s="19">
        <f>4514.23-307+2114.82</f>
        <v>6322.0499999999993</v>
      </c>
      <c r="D15" s="89"/>
      <c r="E15" s="135">
        <f>411.96/2+25+209.98+62.9+317.32+66.43+149.94+75.22+161.27+19.9+233.99/2+151.36</f>
        <v>1562.2950000000001</v>
      </c>
      <c r="F15" s="13"/>
      <c r="G15" s="22">
        <f>91.51+166.1</f>
        <v>257.61</v>
      </c>
      <c r="H15" s="13"/>
      <c r="I15" s="9">
        <f t="shared" si="0"/>
        <v>8141.954999999999</v>
      </c>
      <c r="J15" s="95"/>
      <c r="L15" s="84"/>
      <c r="Z15" s="67" t="s">
        <v>82</v>
      </c>
      <c r="AA15" s="68">
        <v>13</v>
      </c>
      <c r="AO15" s="105"/>
    </row>
    <row r="16" spans="1:42">
      <c r="A16" s="91" t="s">
        <v>83</v>
      </c>
      <c r="B16" s="92" t="s">
        <v>84</v>
      </c>
      <c r="C16" s="19">
        <f>74.21+29.37+50+310+250+307+388</f>
        <v>1408.58</v>
      </c>
      <c r="D16" s="89"/>
      <c r="E16" s="19">
        <f>11.99+2+2.5+17.99+422/2+2.3+13+50+370/2+149.89+144</f>
        <v>789.67000000000007</v>
      </c>
      <c r="F16" s="13"/>
      <c r="G16" s="19">
        <f>18+12.6+9+6+8+96.2+30+319.57+114.07+197.96+104.32+4+160</f>
        <v>1079.72</v>
      </c>
      <c r="H16" s="13"/>
      <c r="I16" s="9">
        <f t="shared" si="0"/>
        <v>3277.9700000000003</v>
      </c>
      <c r="J16" s="95"/>
      <c r="L16" s="84"/>
      <c r="Z16" s="67" t="s">
        <v>85</v>
      </c>
      <c r="AA16" s="68">
        <v>12</v>
      </c>
      <c r="AO16" s="105"/>
    </row>
    <row r="17" spans="1:41">
      <c r="A17" s="91"/>
      <c r="B17" s="92"/>
      <c r="C17" s="19"/>
      <c r="D17" s="89"/>
      <c r="E17" s="19"/>
      <c r="F17" s="13"/>
      <c r="G17" s="19"/>
      <c r="H17" s="13"/>
      <c r="I17" s="9"/>
      <c r="J17" s="95"/>
      <c r="L17" s="84"/>
      <c r="Z17" s="202"/>
      <c r="AA17" s="203"/>
      <c r="AO17" s="105"/>
    </row>
    <row r="18" spans="1:41">
      <c r="A18" s="85" t="s">
        <v>86</v>
      </c>
      <c r="B18" s="5" t="s">
        <v>87</v>
      </c>
      <c r="C18" s="185">
        <f>C4-C5</f>
        <v>26328.616839566399</v>
      </c>
      <c r="D18" s="129">
        <f>C18/C4</f>
        <v>0.32504465234032592</v>
      </c>
      <c r="E18" s="185">
        <f>E4-E5</f>
        <v>42508.006368847884</v>
      </c>
      <c r="F18" s="130">
        <f>E18/E4</f>
        <v>0.52479020208454175</v>
      </c>
      <c r="G18" s="185">
        <f>G4-G5</f>
        <v>-12762.227049320001</v>
      </c>
      <c r="H18" s="130">
        <f>G18/G4</f>
        <v>-1.9469453927261635</v>
      </c>
      <c r="I18" s="16">
        <f>I4-I5</f>
        <v>56074.396159094249</v>
      </c>
      <c r="J18" s="102">
        <f>I18/I4</f>
        <v>0.33267714490281658</v>
      </c>
      <c r="L18" s="84"/>
      <c r="AO18" s="105"/>
    </row>
    <row r="19" spans="1:41">
      <c r="A19" s="103"/>
      <c r="B19" s="104"/>
      <c r="C19" s="104"/>
      <c r="D19" s="104"/>
      <c r="E19" s="104"/>
      <c r="F19" s="104"/>
      <c r="G19" s="104"/>
      <c r="H19" s="104"/>
      <c r="J19" s="105"/>
      <c r="L19" s="115" t="s">
        <v>40</v>
      </c>
      <c r="M19" s="533" t="s">
        <v>88</v>
      </c>
      <c r="N19" s="534"/>
      <c r="O19" s="534"/>
      <c r="P19" s="534"/>
      <c r="Q19" s="534"/>
      <c r="R19" s="534"/>
      <c r="S19" s="534"/>
      <c r="T19" s="534"/>
      <c r="U19" s="534"/>
      <c r="V19" s="534"/>
      <c r="W19" s="535"/>
      <c r="X19" s="29"/>
      <c r="Z19" s="520" t="s">
        <v>89</v>
      </c>
      <c r="AA19" s="520"/>
      <c r="AC19" s="27" t="s">
        <v>40</v>
      </c>
      <c r="AD19" s="533" t="s">
        <v>90</v>
      </c>
      <c r="AE19" s="534"/>
      <c r="AF19" s="534"/>
      <c r="AG19" s="534"/>
      <c r="AH19" s="534"/>
      <c r="AI19" s="534"/>
      <c r="AJ19" s="534"/>
      <c r="AK19" s="534"/>
      <c r="AL19" s="534"/>
      <c r="AM19" s="534"/>
      <c r="AN19" s="535"/>
      <c r="AO19" s="117"/>
    </row>
    <row r="20" spans="1:41" ht="21">
      <c r="A20" s="106" t="s">
        <v>91</v>
      </c>
      <c r="B20" s="4" t="s">
        <v>92</v>
      </c>
      <c r="C20" s="107"/>
      <c r="D20" s="107"/>
      <c r="E20" s="107"/>
      <c r="F20" s="107"/>
      <c r="G20" s="107"/>
      <c r="H20" s="107"/>
      <c r="J20" s="105"/>
      <c r="L20" s="118" t="s">
        <v>45</v>
      </c>
      <c r="M20" s="31"/>
      <c r="N20" s="31"/>
      <c r="O20" s="31"/>
      <c r="P20" s="32"/>
      <c r="Q20" s="32"/>
      <c r="R20" s="32"/>
      <c r="S20" s="31"/>
      <c r="T20" s="31"/>
      <c r="U20" s="31"/>
      <c r="V20" s="31"/>
      <c r="W20" s="31"/>
      <c r="X20" s="516" t="s">
        <v>51</v>
      </c>
      <c r="Z20" s="69" t="s">
        <v>52</v>
      </c>
      <c r="AA20" s="50">
        <f>14865+8694</f>
        <v>23559</v>
      </c>
      <c r="AC20" s="30" t="s">
        <v>45</v>
      </c>
      <c r="AD20" s="238" t="s">
        <v>472</v>
      </c>
      <c r="AE20" s="238" t="s">
        <v>473</v>
      </c>
      <c r="AF20" s="238" t="s">
        <v>474</v>
      </c>
      <c r="AG20" s="190" t="s">
        <v>475</v>
      </c>
      <c r="AH20" s="190" t="s">
        <v>476</v>
      </c>
      <c r="AI20" s="190" t="s">
        <v>477</v>
      </c>
      <c r="AJ20" s="190" t="s">
        <v>459</v>
      </c>
      <c r="AK20" s="190" t="s">
        <v>460</v>
      </c>
      <c r="AL20" s="31" t="s">
        <v>478</v>
      </c>
      <c r="AM20" s="31"/>
      <c r="AN20" s="31"/>
      <c r="AO20" s="518" t="s">
        <v>51</v>
      </c>
    </row>
    <row r="21" spans="1:41">
      <c r="A21" s="108" t="s">
        <v>93</v>
      </c>
      <c r="B21" s="3">
        <f>J6/I5*100</f>
        <v>29.178227664111368</v>
      </c>
      <c r="C21" s="109"/>
      <c r="D21" s="109"/>
      <c r="E21" s="109"/>
      <c r="F21" s="109"/>
      <c r="G21" s="109"/>
      <c r="H21" s="109"/>
      <c r="J21" s="105"/>
      <c r="L21" s="118"/>
      <c r="M21" s="70">
        <v>1</v>
      </c>
      <c r="N21" s="70">
        <v>2</v>
      </c>
      <c r="O21" s="70">
        <v>3</v>
      </c>
      <c r="P21" s="70">
        <v>4</v>
      </c>
      <c r="Q21" s="70">
        <v>5</v>
      </c>
      <c r="R21" s="70">
        <v>6</v>
      </c>
      <c r="S21" s="70"/>
      <c r="T21" s="70"/>
      <c r="U21" s="70"/>
      <c r="V21" s="70"/>
      <c r="W21" s="70"/>
      <c r="X21" s="517"/>
      <c r="Z21" s="71" t="s">
        <v>55</v>
      </c>
      <c r="AA21" s="77">
        <f>I6+I7</f>
        <v>21192.526666666668</v>
      </c>
      <c r="AC21" s="30"/>
      <c r="AD21" s="70">
        <v>1</v>
      </c>
      <c r="AE21" s="70">
        <v>2</v>
      </c>
      <c r="AF21" s="70">
        <v>3</v>
      </c>
      <c r="AG21" s="70">
        <v>4</v>
      </c>
      <c r="AH21" s="70">
        <v>5</v>
      </c>
      <c r="AI21" s="70">
        <v>6</v>
      </c>
      <c r="AJ21" s="70">
        <v>7</v>
      </c>
      <c r="AK21" s="70">
        <v>8</v>
      </c>
      <c r="AL21" s="70">
        <v>9</v>
      </c>
      <c r="AM21" s="70">
        <v>10</v>
      </c>
      <c r="AN21" s="70">
        <v>11</v>
      </c>
      <c r="AO21" s="519"/>
    </row>
    <row r="22" spans="1:41">
      <c r="A22" s="110" t="s">
        <v>94</v>
      </c>
      <c r="B22" s="3">
        <f>J9/I5*100</f>
        <v>52.579289366093462</v>
      </c>
      <c r="C22" s="109"/>
      <c r="D22" s="109"/>
      <c r="E22" s="109"/>
      <c r="F22" s="109"/>
      <c r="G22" s="109"/>
      <c r="H22" s="109"/>
      <c r="J22" s="105"/>
      <c r="L22" s="125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4"/>
      <c r="Z22" s="520" t="s">
        <v>90</v>
      </c>
      <c r="AA22" s="520"/>
      <c r="AC22" s="72"/>
      <c r="AD22" s="73">
        <f>AO22/7</f>
        <v>2142.8571428571427</v>
      </c>
      <c r="AE22" s="73">
        <f>AD22</f>
        <v>2142.8571428571427</v>
      </c>
      <c r="AF22" s="73">
        <f>AD22</f>
        <v>2142.8571428571427</v>
      </c>
      <c r="AG22" s="73"/>
      <c r="AH22" s="73">
        <f>AD22</f>
        <v>2142.8571428571427</v>
      </c>
      <c r="AI22" s="73">
        <f>AD22</f>
        <v>2142.8571428571427</v>
      </c>
      <c r="AJ22" s="73">
        <f>AD22</f>
        <v>2142.8571428571427</v>
      </c>
      <c r="AK22" s="73">
        <f>AD22</f>
        <v>2142.8571428571427</v>
      </c>
      <c r="AL22" s="73"/>
      <c r="AM22" s="73"/>
      <c r="AN22" s="73"/>
      <c r="AO22" s="126">
        <f>AA23</f>
        <v>15000</v>
      </c>
    </row>
    <row r="23" spans="1:41">
      <c r="A23" s="111" t="s">
        <v>95</v>
      </c>
      <c r="B23" s="2">
        <f>J14/I5*100</f>
        <v>18.242482969795169</v>
      </c>
      <c r="C23" s="109"/>
      <c r="D23" s="109"/>
      <c r="E23" s="109"/>
      <c r="F23" s="109"/>
      <c r="G23" s="109"/>
      <c r="H23" s="109"/>
      <c r="J23" s="105"/>
      <c r="L23" s="125"/>
      <c r="M23" s="75"/>
      <c r="N23" s="76"/>
      <c r="O23" s="76"/>
      <c r="P23" s="149"/>
      <c r="Q23" s="76"/>
      <c r="R23" s="76"/>
      <c r="S23" s="76"/>
      <c r="T23" s="76"/>
      <c r="U23" s="76"/>
      <c r="V23" s="76"/>
      <c r="W23" s="76"/>
      <c r="X23" s="168"/>
      <c r="Z23" s="69" t="s">
        <v>52</v>
      </c>
      <c r="AA23" s="50">
        <f>15000</f>
        <v>15000</v>
      </c>
      <c r="AC23" s="72"/>
      <c r="AD23" s="75">
        <f>1385.94+236.66+70.69+1421.91+95.4+40.9+47.9+2114.82</f>
        <v>5414.2200000000012</v>
      </c>
      <c r="AE23" s="76">
        <f>3738.32+849.92+314.91+40</f>
        <v>4943.1499999999996</v>
      </c>
      <c r="AF23" s="76"/>
      <c r="AG23" s="76">
        <f>1308.41+501.8</f>
        <v>1810.21</v>
      </c>
      <c r="AH23" s="76"/>
      <c r="AI23" s="76">
        <v>905.72</v>
      </c>
      <c r="AJ23" s="76">
        <f>239.99/2+151.36</f>
        <v>271.35500000000002</v>
      </c>
      <c r="AK23" s="76">
        <f>62.9+832+204.83+19.9</f>
        <v>1119.6300000000001</v>
      </c>
      <c r="AL23" s="76">
        <f>89+317.32+204.83+66.43+149.94+75.22+161.27+312+651+386.68+106+91.51+166.1</f>
        <v>2777.3</v>
      </c>
      <c r="AM23" s="76"/>
      <c r="AN23" s="76"/>
      <c r="AO23" s="166">
        <f>AK23+AJ23+AI23+AH23+AG23+AF23+AE23+AD23+AL23</f>
        <v>17241.584999999999</v>
      </c>
    </row>
    <row r="24" spans="1:41">
      <c r="A24" s="84"/>
      <c r="J24" s="105"/>
      <c r="L24" s="84"/>
      <c r="Z24" s="71" t="s">
        <v>55</v>
      </c>
      <c r="AA24" s="60">
        <f>AO23</f>
        <v>17241.584999999999</v>
      </c>
      <c r="AO24" s="105"/>
    </row>
    <row r="25" spans="1:41">
      <c r="A25" s="84"/>
      <c r="J25" s="105"/>
      <c r="L25" s="84"/>
      <c r="X25" s="128"/>
      <c r="AO25" s="105"/>
    </row>
    <row r="26" spans="1:41">
      <c r="A26" s="84"/>
      <c r="J26" s="105"/>
      <c r="L26" s="84"/>
      <c r="Z26" s="239" t="s">
        <v>96</v>
      </c>
      <c r="AA26" s="145">
        <f>C37</f>
        <v>28448.799999999999</v>
      </c>
      <c r="AO26" s="105"/>
    </row>
    <row r="27" spans="1:41" ht="27.75">
      <c r="A27" s="84"/>
      <c r="J27" s="105"/>
      <c r="L27" s="84"/>
      <c r="Z27" s="10" t="s">
        <v>97</v>
      </c>
      <c r="AA27" s="145">
        <f>B37</f>
        <v>21732.048307999998</v>
      </c>
      <c r="AO27" s="105"/>
    </row>
    <row r="28" spans="1:41">
      <c r="A28" s="84"/>
      <c r="J28" s="105"/>
      <c r="L28" s="84"/>
      <c r="AO28" s="105"/>
    </row>
    <row r="29" spans="1:41">
      <c r="A29" s="84"/>
      <c r="J29" s="105"/>
      <c r="L29" s="84"/>
      <c r="AO29" s="105"/>
    </row>
    <row r="30" spans="1:41">
      <c r="A30" s="84"/>
      <c r="J30" s="105"/>
      <c r="L30" s="84"/>
      <c r="AO30" s="105"/>
    </row>
    <row r="31" spans="1:41">
      <c r="A31" s="84"/>
      <c r="J31" s="105"/>
      <c r="L31" s="84"/>
      <c r="Z31" s="521" t="s">
        <v>98</v>
      </c>
      <c r="AA31" s="522"/>
      <c r="AO31" s="105"/>
    </row>
    <row r="32" spans="1:41">
      <c r="A32" s="84"/>
      <c r="J32" s="105"/>
      <c r="L32" s="84"/>
      <c r="Z32" s="523" t="s">
        <v>463</v>
      </c>
      <c r="AA32" s="524"/>
      <c r="AO32" s="105"/>
    </row>
    <row r="33" spans="1:41">
      <c r="A33" s="112"/>
      <c r="B33" s="113"/>
      <c r="C33" s="113"/>
      <c r="D33" s="113"/>
      <c r="E33" s="113"/>
      <c r="F33" s="113"/>
      <c r="G33" s="113"/>
      <c r="H33" s="113"/>
      <c r="I33" s="113"/>
      <c r="J33" s="114"/>
      <c r="L33" s="112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525"/>
      <c r="AA33" s="526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4"/>
    </row>
    <row r="37" spans="1:41">
      <c r="A37" s="225" t="s">
        <v>428</v>
      </c>
      <c r="B37" s="254">
        <f>SUM(B38:B43)</f>
        <v>21732.048307999998</v>
      </c>
      <c r="C37">
        <f>13650+14798.8</f>
        <v>28448.799999999999</v>
      </c>
    </row>
    <row r="38" spans="1:41">
      <c r="A38" t="s">
        <v>429</v>
      </c>
      <c r="B38" s="1">
        <f>849.92+520.8+233.99/2+89+205.98+204.83+461.94</f>
        <v>2449.4649999999997</v>
      </c>
      <c r="K38" s="1"/>
    </row>
    <row r="39" spans="1:41">
      <c r="A39" t="s">
        <v>430</v>
      </c>
      <c r="B39" s="1">
        <f>((122*15+122*12+124.5*16)-B40)*1.42*1.2359</f>
        <v>6117.8533079999997</v>
      </c>
    </row>
    <row r="40" spans="1:41">
      <c r="A40" t="s">
        <v>73</v>
      </c>
      <c r="B40" s="1">
        <f>26*50+10*50</f>
        <v>1800</v>
      </c>
    </row>
    <row r="41" spans="1:41">
      <c r="A41" t="s">
        <v>432</v>
      </c>
      <c r="B41">
        <f>1799.42+92.63+79.96+107.25+204.5+87.55</f>
        <v>2371.3100000000004</v>
      </c>
    </row>
    <row r="42" spans="1:41">
      <c r="A42" t="s">
        <v>446</v>
      </c>
      <c r="B42" s="1">
        <v>1247.68</v>
      </c>
    </row>
    <row r="43" spans="1:41">
      <c r="A43" t="s">
        <v>434</v>
      </c>
      <c r="B43">
        <f>4805.74+2940</f>
        <v>7745.74</v>
      </c>
    </row>
  </sheetData>
  <mergeCells count="21">
    <mergeCell ref="Z32:AA33"/>
    <mergeCell ref="A2:J2"/>
    <mergeCell ref="C3:D3"/>
    <mergeCell ref="E3:F3"/>
    <mergeCell ref="I3:J3"/>
    <mergeCell ref="L2:AO2"/>
    <mergeCell ref="X20:X21"/>
    <mergeCell ref="M3:W3"/>
    <mergeCell ref="Z3:AA3"/>
    <mergeCell ref="AD3:AN3"/>
    <mergeCell ref="X4:X5"/>
    <mergeCell ref="Z6:AA6"/>
    <mergeCell ref="M19:W19"/>
    <mergeCell ref="Z19:AA19"/>
    <mergeCell ref="AD19:AN19"/>
    <mergeCell ref="B1:AO1"/>
    <mergeCell ref="AO20:AO21"/>
    <mergeCell ref="AO4:AO5"/>
    <mergeCell ref="Z22:AA22"/>
    <mergeCell ref="Z31:AA31"/>
    <mergeCell ref="G3:H3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223913-A859-43C9-8A27-35198EC8EC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Office_Franzoni &amp; Co</dc:creator>
  <cp:keywords/>
  <dc:description/>
  <cp:lastModifiedBy>Office_Franzoni &amp; Co</cp:lastModifiedBy>
  <cp:revision/>
  <dcterms:created xsi:type="dcterms:W3CDTF">2021-01-14T07:32:13Z</dcterms:created>
  <dcterms:modified xsi:type="dcterms:W3CDTF">2026-02-03T12:15:05Z</dcterms:modified>
  <cp:category/>
  <cp:contentStatus/>
</cp:coreProperties>
</file>